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21600" windowHeight="9735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_FilterDatabase" localSheetId="0" hidden="1">F6a!$A$3:$G$155</definedName>
    <definedName name="_xlnm._FilterDatabase" localSheetId="1" hidden="1">F6b!$A$3:$G$21</definedName>
    <definedName name="_xlnm._FilterDatabase" localSheetId="2" hidden="1">F6c!$A$3:$G$79</definedName>
    <definedName name="_xlnm._FilterDatabase" localSheetId="3" hidden="1">F6d!$A$3:$G$27</definedName>
    <definedName name="_xlnm.Print_Area" localSheetId="0">F6a!$A$1:$G$155</definedName>
  </definedNames>
  <calcPr calcId="152511"/>
</workbook>
</file>

<file path=xl/calcChain.xml><?xml version="1.0" encoding="utf-8"?>
<calcChain xmlns="http://schemas.openxmlformats.org/spreadsheetml/2006/main">
  <c r="F13" i="2" l="1"/>
  <c r="F11" i="2"/>
  <c r="F10" i="2"/>
  <c r="F9" i="2"/>
  <c r="F8" i="2"/>
  <c r="F49" i="1"/>
  <c r="F47" i="1"/>
  <c r="F37" i="1"/>
  <c r="F32" i="1"/>
  <c r="F31" i="1"/>
  <c r="F30" i="1"/>
  <c r="F28" i="1"/>
  <c r="F27" i="1"/>
  <c r="F26" i="1"/>
  <c r="F24" i="1"/>
  <c r="F19" i="1"/>
  <c r="F17" i="1"/>
  <c r="F14" i="1"/>
  <c r="F10" i="1"/>
  <c r="F9" i="1"/>
  <c r="F15" i="1"/>
  <c r="F22" i="1"/>
  <c r="B16" i="2" l="1"/>
  <c r="B9" i="2"/>
  <c r="B8" i="2"/>
  <c r="B7" i="2"/>
  <c r="C5" i="2"/>
  <c r="C21" i="2"/>
  <c r="D105" i="1"/>
  <c r="D112" i="1"/>
  <c r="D82" i="1"/>
  <c r="D81" i="1"/>
  <c r="B6" i="1"/>
  <c r="B7" i="1"/>
  <c r="B30" i="1"/>
  <c r="B10" i="1"/>
  <c r="B37" i="1"/>
  <c r="D22" i="1" l="1"/>
  <c r="D47" i="1"/>
  <c r="G47" i="1" s="1"/>
  <c r="D46" i="1"/>
  <c r="G46" i="1" s="1"/>
  <c r="G52" i="1"/>
  <c r="G51" i="1"/>
  <c r="G50" i="1"/>
  <c r="G48" i="1"/>
  <c r="G45" i="1"/>
  <c r="G54" i="1"/>
  <c r="G55" i="1"/>
  <c r="G56" i="1"/>
  <c r="G58" i="1"/>
  <c r="G59" i="1"/>
  <c r="G60" i="1"/>
  <c r="G61" i="1"/>
  <c r="G62" i="1"/>
  <c r="G63" i="1"/>
  <c r="G64" i="1"/>
  <c r="G65" i="1"/>
  <c r="G67" i="1"/>
  <c r="G68" i="1"/>
  <c r="G69" i="1"/>
  <c r="G71" i="1"/>
  <c r="G72" i="1"/>
  <c r="G73" i="1"/>
  <c r="G74" i="1"/>
  <c r="G75" i="1"/>
  <c r="G76" i="1"/>
  <c r="G77" i="1"/>
  <c r="D49" i="1"/>
  <c r="G49" i="1" s="1"/>
  <c r="D44" i="1"/>
  <c r="D38" i="1"/>
  <c r="D37" i="1"/>
  <c r="D32" i="1"/>
  <c r="D31" i="1"/>
  <c r="D30" i="1"/>
  <c r="D29" i="1"/>
  <c r="D28" i="1"/>
  <c r="D27" i="1"/>
  <c r="D26" i="1"/>
  <c r="D25" i="1"/>
  <c r="D24" i="1"/>
  <c r="D21" i="1"/>
  <c r="D20" i="1"/>
  <c r="D9" i="1"/>
  <c r="D17" i="1"/>
  <c r="D15" i="1"/>
  <c r="D19" i="1"/>
  <c r="D18" i="1"/>
  <c r="D16" i="1"/>
  <c r="D14" i="1"/>
  <c r="D12" i="1"/>
  <c r="D10" i="1"/>
  <c r="D83" i="1"/>
  <c r="G83" i="1" s="1"/>
  <c r="D7" i="1"/>
  <c r="D8" i="1"/>
  <c r="D11" i="1"/>
  <c r="D6" i="1"/>
  <c r="B5" i="4" l="1"/>
  <c r="F5" i="4"/>
  <c r="G122" i="1"/>
  <c r="G82" i="1"/>
  <c r="G81" i="1"/>
  <c r="G31" i="1"/>
  <c r="G29" i="1"/>
  <c r="G12" i="1"/>
  <c r="G11" i="1"/>
  <c r="G10" i="1"/>
  <c r="J40" i="1"/>
  <c r="G18" i="1" l="1"/>
  <c r="G17" i="1"/>
  <c r="G16" i="1"/>
  <c r="D29" i="2" l="1"/>
  <c r="G29" i="2" s="1"/>
  <c r="D28" i="2"/>
  <c r="G28" i="2" s="1"/>
  <c r="E5" i="2"/>
  <c r="E21" i="2"/>
  <c r="D27" i="2"/>
  <c r="G27" i="2" s="1"/>
  <c r="D26" i="2"/>
  <c r="G26" i="2" s="1"/>
  <c r="D25" i="2"/>
  <c r="G25" i="2" s="1"/>
  <c r="D9" i="2"/>
  <c r="D10" i="2"/>
  <c r="G10" i="2" s="1"/>
  <c r="D11" i="2"/>
  <c r="G11" i="2" s="1"/>
  <c r="D12" i="2"/>
  <c r="G12" i="2" s="1"/>
  <c r="D13" i="2"/>
  <c r="G13" i="2" s="1"/>
  <c r="D16" i="2"/>
  <c r="G16" i="2" s="1"/>
  <c r="D17" i="2"/>
  <c r="G17" i="2" s="1"/>
  <c r="D18" i="2"/>
  <c r="G18" i="2" s="1"/>
  <c r="D19" i="2"/>
  <c r="G19" i="2" s="1"/>
  <c r="G20" i="2"/>
  <c r="D6" i="2" l="1"/>
  <c r="G6" i="2" s="1"/>
  <c r="D15" i="2"/>
  <c r="G15" i="2" s="1"/>
  <c r="D14" i="2"/>
  <c r="G14" i="2" s="1"/>
  <c r="G9" i="2"/>
  <c r="D8" i="2"/>
  <c r="G8" i="2" s="1"/>
  <c r="B21" i="2"/>
  <c r="D21" i="2" s="1"/>
  <c r="F5" i="2"/>
  <c r="F21" i="2"/>
  <c r="D7" i="2"/>
  <c r="B5" i="2"/>
  <c r="G32" i="1"/>
  <c r="G21" i="2" l="1"/>
  <c r="D5" i="2"/>
  <c r="G7" i="2"/>
  <c r="G5" i="2" s="1"/>
  <c r="H5" i="2" s="1"/>
  <c r="G119" i="1"/>
  <c r="G44" i="1"/>
  <c r="G38" i="1"/>
  <c r="G37" i="1"/>
  <c r="G30" i="1"/>
  <c r="G28" i="1"/>
  <c r="G27" i="1"/>
  <c r="G26" i="1"/>
  <c r="G25" i="1"/>
  <c r="G24" i="1"/>
  <c r="G22" i="1"/>
  <c r="G21" i="1"/>
  <c r="G20" i="1"/>
  <c r="G19" i="1"/>
  <c r="G15" i="1"/>
  <c r="G14" i="1"/>
  <c r="G9" i="1"/>
  <c r="G8" i="1"/>
  <c r="G7" i="1"/>
  <c r="G23" i="1" l="1"/>
  <c r="G6" i="1"/>
  <c r="G13" i="1"/>
  <c r="G26" i="4"/>
  <c r="G25" i="4"/>
  <c r="G24" i="4"/>
  <c r="F23" i="4"/>
  <c r="E23" i="4"/>
  <c r="D23" i="4"/>
  <c r="C23" i="4"/>
  <c r="B23" i="4"/>
  <c r="G22" i="4"/>
  <c r="G21" i="4"/>
  <c r="G20" i="4"/>
  <c r="F19" i="4"/>
  <c r="E19" i="4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G11" i="4" s="1"/>
  <c r="C11" i="4"/>
  <c r="B11" i="4"/>
  <c r="G10" i="4"/>
  <c r="G9" i="4"/>
  <c r="G8" i="4"/>
  <c r="G7" i="4" s="1"/>
  <c r="F7" i="4"/>
  <c r="F4" i="4" s="1"/>
  <c r="F27" i="4" s="1"/>
  <c r="E7" i="4"/>
  <c r="D7" i="4"/>
  <c r="C7" i="4"/>
  <c r="B7" i="4"/>
  <c r="B4" i="4" s="1"/>
  <c r="B27" i="4" s="1"/>
  <c r="G6" i="4"/>
  <c r="E4" i="4"/>
  <c r="G77" i="3"/>
  <c r="G76" i="3"/>
  <c r="G75" i="3"/>
  <c r="G74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C25" i="3"/>
  <c r="B25" i="3"/>
  <c r="G23" i="3"/>
  <c r="G22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C5" i="3" s="1"/>
  <c r="B6" i="3"/>
  <c r="G32" i="2"/>
  <c r="G31" i="2"/>
  <c r="G30" i="2"/>
  <c r="F24" i="2"/>
  <c r="E24" i="2"/>
  <c r="D24" i="2"/>
  <c r="C24" i="2"/>
  <c r="C34" i="2" s="1"/>
  <c r="B24" i="2"/>
  <c r="E34" i="2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F128" i="1"/>
  <c r="E128" i="1"/>
  <c r="D128" i="1"/>
  <c r="C128" i="1"/>
  <c r="B128" i="1"/>
  <c r="G127" i="1"/>
  <c r="G126" i="1"/>
  <c r="G125" i="1"/>
  <c r="G124" i="1"/>
  <c r="G123" i="1"/>
  <c r="G121" i="1"/>
  <c r="G120" i="1"/>
  <c r="G118" i="1" s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F80" i="1"/>
  <c r="E80" i="1"/>
  <c r="D80" i="1"/>
  <c r="C80" i="1"/>
  <c r="B80" i="1"/>
  <c r="F70" i="1"/>
  <c r="E70" i="1"/>
  <c r="D70" i="1"/>
  <c r="G70" i="1" s="1"/>
  <c r="C70" i="1"/>
  <c r="B70" i="1"/>
  <c r="F66" i="1"/>
  <c r="E66" i="1"/>
  <c r="D66" i="1"/>
  <c r="G66" i="1" s="1"/>
  <c r="C66" i="1"/>
  <c r="B66" i="1"/>
  <c r="F57" i="1"/>
  <c r="E57" i="1"/>
  <c r="D57" i="1"/>
  <c r="C57" i="1"/>
  <c r="B57" i="1"/>
  <c r="F53" i="1"/>
  <c r="E53" i="1"/>
  <c r="D53" i="1"/>
  <c r="C53" i="1"/>
  <c r="B53" i="1"/>
  <c r="G43" i="1"/>
  <c r="F43" i="1"/>
  <c r="E43" i="1"/>
  <c r="D43" i="1"/>
  <c r="C43" i="1"/>
  <c r="B43" i="1"/>
  <c r="G42" i="1"/>
  <c r="G41" i="1"/>
  <c r="G40" i="1"/>
  <c r="G39" i="1"/>
  <c r="G36" i="1"/>
  <c r="G35" i="1"/>
  <c r="G34" i="1"/>
  <c r="F33" i="1"/>
  <c r="E33" i="1"/>
  <c r="D33" i="1"/>
  <c r="C33" i="1"/>
  <c r="B33" i="1"/>
  <c r="F23" i="1"/>
  <c r="E23" i="1"/>
  <c r="D23" i="1"/>
  <c r="C23" i="1"/>
  <c r="B23" i="1"/>
  <c r="F13" i="1"/>
  <c r="E13" i="1"/>
  <c r="D13" i="1"/>
  <c r="C13" i="1"/>
  <c r="B13" i="1"/>
  <c r="F5" i="1"/>
  <c r="E5" i="1"/>
  <c r="D5" i="1"/>
  <c r="B5" i="1"/>
  <c r="G57" i="1" l="1"/>
  <c r="G88" i="1"/>
  <c r="B5" i="3"/>
  <c r="B79" i="3" s="1"/>
  <c r="C42" i="3"/>
  <c r="E42" i="3"/>
  <c r="G53" i="1"/>
  <c r="G25" i="3"/>
  <c r="C16" i="4"/>
  <c r="G141" i="1"/>
  <c r="G145" i="1"/>
  <c r="F5" i="3"/>
  <c r="F79" i="3" s="1"/>
  <c r="G19" i="4"/>
  <c r="G16" i="4" s="1"/>
  <c r="G23" i="4"/>
  <c r="D79" i="1"/>
  <c r="G6" i="3"/>
  <c r="G5" i="3" s="1"/>
  <c r="G33" i="1"/>
  <c r="G98" i="1"/>
  <c r="D5" i="3"/>
  <c r="D42" i="3"/>
  <c r="G42" i="3" s="1"/>
  <c r="D16" i="4"/>
  <c r="E16" i="4"/>
  <c r="E27" i="4" s="1"/>
  <c r="G108" i="1"/>
  <c r="B79" i="1"/>
  <c r="G132" i="1"/>
  <c r="E5" i="3"/>
  <c r="G73" i="3"/>
  <c r="F79" i="1"/>
  <c r="G80" i="1"/>
  <c r="D4" i="1"/>
  <c r="F34" i="2"/>
  <c r="D34" i="2"/>
  <c r="G24" i="2"/>
  <c r="G34" i="2" s="1"/>
  <c r="B34" i="2"/>
  <c r="E79" i="1"/>
  <c r="C79" i="1"/>
  <c r="E4" i="1"/>
  <c r="E154" i="1" s="1"/>
  <c r="F4" i="1"/>
  <c r="B4" i="1"/>
  <c r="G5" i="1"/>
  <c r="C79" i="3"/>
  <c r="E79" i="3" l="1"/>
  <c r="G79" i="1"/>
  <c r="G79" i="3"/>
  <c r="D79" i="3"/>
  <c r="D154" i="1"/>
  <c r="B154" i="1"/>
  <c r="F154" i="1"/>
  <c r="G4" i="1"/>
  <c r="G154" i="1" l="1"/>
  <c r="C5" i="4" l="1"/>
  <c r="C4" i="4" s="1"/>
  <c r="C27" i="4" s="1"/>
  <c r="C5" i="1"/>
  <c r="C4" i="1" s="1"/>
  <c r="C154" i="1" s="1"/>
  <c r="D5" i="4" l="1"/>
  <c r="G5" i="4" l="1"/>
  <c r="G4" i="4" s="1"/>
  <c r="G27" i="4" s="1"/>
  <c r="D4" i="4"/>
  <c r="D27" i="4" s="1"/>
</calcChain>
</file>

<file path=xl/sharedStrings.xml><?xml version="1.0" encoding="utf-8"?>
<sst xmlns="http://schemas.openxmlformats.org/spreadsheetml/2006/main" count="299" uniqueCount="158">
  <si>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</si>
  <si>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</si>
  <si>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</si>
  <si>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</si>
  <si>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</si>
  <si>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</si>
  <si>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</si>
  <si>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</si>
  <si>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</si>
  <si>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</si>
  <si>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</si>
  <si>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</si>
  <si>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</si>
  <si>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</si>
  <si>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</si>
  <si>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</si>
  <si>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</si>
  <si>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</si>
  <si>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</si>
  <si>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</si>
  <si>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</si>
  <si>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</si>
  <si>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</si>
  <si>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</si>
  <si>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</si>
  <si>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</si>
  <si>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</si>
  <si>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</si>
  <si>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</si>
  <si>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</si>
  <si>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</si>
  <si>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</si>
  <si>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</si>
  <si>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</si>
  <si>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</si>
  <si>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</si>
  <si>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</si>
  <si>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</si>
  <si>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</si>
  <si>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</si>
  <si>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</si>
  <si>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</si>
  <si>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</si>
  <si>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</si>
  <si>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</si>
  <si>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</si>
  <si>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</si>
  <si>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</si>
  <si>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</si>
  <si>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</si>
  <si>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</si>
  <si>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</si>
  <si>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</si>
  <si>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</si>
  <si>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</si>
  <si>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</si>
  <si>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</si>
  <si>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</si>
  <si>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</si>
  <si>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</si>
  <si>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</si>
  <si>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</si>
  <si>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</si>
  <si>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</si>
  <si>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</si>
  <si>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</si>
  <si>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</si>
  <si>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</si>
  <si>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</si>
  <si>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</si>
  <si>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</si>
  <si>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</si>
  <si>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</si>
  <si>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</si>
  <si>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</si>
  <si>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</si>
  <si>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</si>
  <si>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</si>
  <si>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</si>
  <si>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</si>
  <si>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</si>
  <si>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</si>
  <si>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</si>
  <si>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</si>
  <si>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</si>
  <si>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</si>
  <si>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</si>
  <si>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</si>
  <si>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</si>
  <si>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</si>
  <si>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</si>
  <si>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</si>
  <si>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</si>
  <si>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</si>
  <si>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</si>
  <si>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</si>
  <si>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</si>
  <si>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</si>
  <si>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</si>
  <si>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</si>
  <si>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</si>
  <si>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</si>
  <si>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</si>
  <si>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</si>
  <si>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</si>
  <si>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</si>
  <si>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</si>
  <si>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</si>
  <si>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</si>
  <si>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</si>
  <si>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</si>
  <si>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</si>
  <si>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</si>
  <si>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</si>
  <si>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</si>
  <si>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</si>
  <si>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</si>
  <si>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</si>
  <si>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</si>
  <si>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</si>
  <si>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</si>
  <si>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</si>
  <si>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</si>
  <si>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</si>
  <si>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</si>
  <si>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</si>
  <si>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</si>
  <si>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</si>
  <si>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</si>
  <si>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</si>
  <si>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</si>
  <si>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</si>
  <si>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</si>
  <si>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</si>
  <si>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</si>
  <si>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</si>
  <si>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</si>
  <si>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</si>
  <si>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</si>
  <si>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</si>
  <si>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31120-8201  ADMINISTRACION</t>
  </si>
  <si>
    <t>31120-8202  CADI ESTANCIA INFANTIL</t>
  </si>
  <si>
    <t>31120-8203  CEMAIV</t>
  </si>
  <si>
    <t>31120-8204  ALIMENTARIO</t>
  </si>
  <si>
    <t>31120-8205  NTC Y CASA DE DIA</t>
  </si>
  <si>
    <t>31120-8206  REHABILITACIÓN</t>
  </si>
  <si>
    <t>31120-8207  PREVERP</t>
  </si>
  <si>
    <t>31120-8209  ADULTO MAYOR</t>
  </si>
  <si>
    <t>31120-8210  TRABAJO SOCIAL</t>
  </si>
  <si>
    <t>31120-8211  SERVICIOS</t>
  </si>
  <si>
    <t>31120-8212  EDUCADORAS COMUNITARIAS</t>
  </si>
  <si>
    <t>31120-8213  JURIDICO</t>
  </si>
  <si>
    <t>31120-8214  PROCURADURIA</t>
  </si>
  <si>
    <t>31120-8215  DESARROLLO FAMILIAR Y COMUNITARIO</t>
  </si>
  <si>
    <t>Sistema para el Desarrollo  Integral de la Familia del Municipio de San Miguel de Allende, Gto.Estado Analítico del Ejercicio del Presupuesto de Egresos Detallado - LDF
Clasificación Administrativa
Del 1 de enero al 31 de Diciembre de 2017 (b)
(PESOS)</t>
  </si>
  <si>
    <t>Sistema para el Desarrollo Integral de la Familia para el Municipio de San Miguel de Allende; Gto
Estado Analítico del Ejercicio del Presupuesto de Egresos Detallado - LDF
Clasificación de Servicios Personales por Categoría
Del 1 de enero al 31 de Diciembre de 2017 (b)
(PESOS)</t>
  </si>
  <si>
    <t>Sistema para el Desarrollo Integral de la Familia del Municipio de San Miguel de Allende, Gto
Estado Analítico del Ejercicio del Presupuesto de Egresos Detallado - LDF
Clasificación Funcional (Finalidad y Función)
Del 1 de enero Al 31 de diciembre de 2017 (b)
(PESOS)</t>
  </si>
  <si>
    <t>Estado Analítico del Ejercicio del Presupuesto de Egresos Detallado - LDF
Clasificación por Objeto del Gasto (Capítulo y Concepto)
Del 1 de enero al 31 de Marzo de 2017(b)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</si>
</sst>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1" applyNumberFormat="0" applyAlignment="0" applyProtection="0"/>
    <xf numFmtId="0" fontId="20" fillId="7" borderId="12" applyNumberFormat="0" applyAlignment="0" applyProtection="0"/>
    <xf numFmtId="0" fontId="21" fillId="7" borderId="11" applyNumberFormat="0" applyAlignment="0" applyProtection="0"/>
    <xf numFmtId="0" fontId="22" fillId="0" borderId="13" applyNumberFormat="0" applyFill="0" applyAlignment="0" applyProtection="0"/>
    <xf numFmtId="0" fontId="23" fillId="8" borderId="1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0" borderId="0"/>
    <xf numFmtId="0" fontId="2" fillId="0" borderId="0"/>
    <xf numFmtId="0" fontId="2" fillId="9" borderId="15" applyNumberFormat="0" applyFont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inden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4" fontId="8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2"/>
    </xf>
    <xf numFmtId="4" fontId="9" fillId="0" borderId="7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4" fontId="9" fillId="0" borderId="6" xfId="0" applyNumberFormat="1" applyFont="1" applyBorder="1" applyAlignment="1">
      <alignment vertical="center"/>
    </xf>
    <xf numFmtId="0" fontId="9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center" wrapText="1" indent="1"/>
    </xf>
    <xf numFmtId="0" fontId="9" fillId="0" borderId="7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justify" vertical="center"/>
    </xf>
    <xf numFmtId="4" fontId="8" fillId="0" borderId="6" xfId="0" applyNumberFormat="1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4" fontId="5" fillId="0" borderId="0" xfId="0" applyNumberFormat="1" applyFont="1"/>
    <xf numFmtId="4" fontId="9" fillId="0" borderId="0" xfId="0" applyNumberFormat="1" applyFont="1"/>
    <xf numFmtId="0" fontId="3" fillId="0" borderId="0" xfId="42"/>
    <xf numFmtId="0" fontId="3" fillId="0" borderId="0" xfId="42"/>
    <xf numFmtId="0" fontId="3" fillId="0" borderId="0" xfId="42"/>
    <xf numFmtId="0" fontId="3" fillId="0" borderId="0" xfId="42"/>
    <xf numFmtId="0" fontId="7" fillId="0" borderId="7" xfId="58" applyFont="1" applyBorder="1" applyAlignment="1">
      <alignment horizontal="left" vertical="center" indent="2"/>
    </xf>
    <xf numFmtId="4" fontId="7" fillId="0" borderId="7" xfId="0" applyNumberFormat="1" applyFont="1" applyFill="1" applyBorder="1" applyAlignment="1">
      <alignment vertical="center"/>
    </xf>
    <xf numFmtId="4" fontId="0" fillId="0" borderId="0" xfId="0" applyNumberFormat="1"/>
    <xf numFmtId="4" fontId="1" fillId="0" borderId="0" xfId="61" applyNumberFormat="1"/>
    <xf numFmtId="0" fontId="1" fillId="0" borderId="0" xfId="61"/>
    <xf numFmtId="0" fontId="1" fillId="0" borderId="0" xfId="61"/>
    <xf numFmtId="0" fontId="1" fillId="0" borderId="0" xfId="6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75">
    <cellStyle name="20% - Énfasis1" xfId="19" builtinId="30" customBuiltin="1"/>
    <cellStyle name="20% - Énfasis1 2" xfId="46"/>
    <cellStyle name="20% - Énfasis1 3" xfId="63"/>
    <cellStyle name="20% - Énfasis2" xfId="23" builtinId="34" customBuiltin="1"/>
    <cellStyle name="20% - Énfasis2 2" xfId="48"/>
    <cellStyle name="20% - Énfasis2 3" xfId="65"/>
    <cellStyle name="20% - Énfasis3" xfId="27" builtinId="38" customBuiltin="1"/>
    <cellStyle name="20% - Énfasis3 2" xfId="50"/>
    <cellStyle name="20% - Énfasis3 3" xfId="67"/>
    <cellStyle name="20% - Énfasis4" xfId="31" builtinId="42" customBuiltin="1"/>
    <cellStyle name="20% - Énfasis4 2" xfId="52"/>
    <cellStyle name="20% - Énfasis4 3" xfId="69"/>
    <cellStyle name="20% - Énfasis5" xfId="35" builtinId="46" customBuiltin="1"/>
    <cellStyle name="20% - Énfasis5 2" xfId="54"/>
    <cellStyle name="20% - Énfasis5 3" xfId="71"/>
    <cellStyle name="20% - Énfasis6" xfId="39" builtinId="50" customBuiltin="1"/>
    <cellStyle name="20% - Énfasis6 2" xfId="56"/>
    <cellStyle name="20% - Énfasis6 3" xfId="73"/>
    <cellStyle name="40% - Énfasis1" xfId="20" builtinId="31" customBuiltin="1"/>
    <cellStyle name="40% - Énfasis1 2" xfId="47"/>
    <cellStyle name="40% - Énfasis1 3" xfId="64"/>
    <cellStyle name="40% - Énfasis2" xfId="24" builtinId="35" customBuiltin="1"/>
    <cellStyle name="40% - Énfasis2 2" xfId="49"/>
    <cellStyle name="40% - Énfasis2 3" xfId="66"/>
    <cellStyle name="40% - Énfasis3" xfId="28" builtinId="39" customBuiltin="1"/>
    <cellStyle name="40% - Énfasis3 2" xfId="51"/>
    <cellStyle name="40% - Énfasis3 3" xfId="68"/>
    <cellStyle name="40% - Énfasis4" xfId="32" builtinId="43" customBuiltin="1"/>
    <cellStyle name="40% - Énfasis4 2" xfId="53"/>
    <cellStyle name="40% - Énfasis4 3" xfId="70"/>
    <cellStyle name="40% - Énfasis5" xfId="36" builtinId="47" customBuiltin="1"/>
    <cellStyle name="40% - Énfasis5 2" xfId="55"/>
    <cellStyle name="40% - Énfasis5 3" xfId="72"/>
    <cellStyle name="40% - Énfasis6" xfId="40" builtinId="51" customBuiltin="1"/>
    <cellStyle name="40% - Énfasis6 2" xfId="57"/>
    <cellStyle name="40% - Énfasis6 3" xfId="74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1"/>
    <cellStyle name="Normal 2 3" xfId="59"/>
    <cellStyle name="Normal 3" xfId="58"/>
    <cellStyle name="Normal 4" xfId="44"/>
    <cellStyle name="Normal 5" xfId="61"/>
    <cellStyle name="Notas 2" xfId="43"/>
    <cellStyle name="Notas 2 2" xfId="60"/>
    <cellStyle name="Notas 3" xfId="45"/>
    <cellStyle name="Notas 4" xfId="62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>
      <selection sqref="A1:G1"/>
    </sheetView>
  </sheetViews>
  <sheetFormatPr baseColWidth="10" defaultRowHeight="12.75"/>
  <cols>
    <col min="1" max="1" width="90.83203125" style="1" customWidth="1"/>
    <col min="2" max="7" width="16.83203125" style="1" customWidth="1"/>
    <col min="8" max="8" width="14.83203125" style="1" bestFit="1" customWidth="1"/>
    <col min="9" max="16384" width="12" style="1"/>
  </cols>
  <sheetData>
    <row r="1" spans="1:8" ht="45.95" customHeight="1">
      <c r="A1" s="56" t="s">
        <v>157</v>
      </c>
      <c r="B1" s="57"/>
      <c r="C1" s="57"/>
      <c r="D1" s="57"/>
      <c r="E1" s="57"/>
      <c r="F1" s="57"/>
      <c r="G1" s="58"/>
    </row>
    <row r="2" spans="1:8">
      <c r="A2" s="2"/>
      <c r="B2" s="59" t="s">
        <v>0</v>
      </c>
      <c r="C2" s="59"/>
      <c r="D2" s="59"/>
      <c r="E2" s="59"/>
      <c r="F2" s="59"/>
      <c r="G2" s="2"/>
    </row>
    <row r="3" spans="1:8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8">
      <c r="A4" s="6" t="s">
        <v>8</v>
      </c>
      <c r="B4" s="7">
        <f>B5+B13+B23+B33+B43+B53+B57+B66+B70</f>
        <v>26175000.000000004</v>
      </c>
      <c r="C4" s="7">
        <f t="shared" ref="C4:G4" si="0">C5+C13+C23+C33+C43+C53+C57+C66+C70</f>
        <v>-1.0186340659856796E-10</v>
      </c>
      <c r="D4" s="7">
        <f>D5+D13+D23+D33+D43+D53+D57+D66+D70</f>
        <v>26175000</v>
      </c>
      <c r="E4" s="7">
        <f t="shared" si="0"/>
        <v>15772.800000000001</v>
      </c>
      <c r="F4" s="7">
        <f t="shared" si="0"/>
        <v>5270884.3500000006</v>
      </c>
      <c r="G4" s="7">
        <f t="shared" si="0"/>
        <v>20888342.850000001</v>
      </c>
      <c r="H4"/>
    </row>
    <row r="5" spans="1:8">
      <c r="A5" s="8" t="s">
        <v>9</v>
      </c>
      <c r="B5" s="9">
        <f>SUM(B6:B12)</f>
        <v>14870219.17</v>
      </c>
      <c r="C5" s="9">
        <f t="shared" ref="C5:G5" si="1">SUM(C6:C12)</f>
        <v>693240.89999999991</v>
      </c>
      <c r="D5" s="9">
        <f t="shared" si="1"/>
        <v>15563460.07</v>
      </c>
      <c r="E5" s="9">
        <f t="shared" si="1"/>
        <v>0</v>
      </c>
      <c r="F5" s="9">
        <f t="shared" si="1"/>
        <v>3066046.0900000003</v>
      </c>
      <c r="G5" s="9">
        <f t="shared" si="1"/>
        <v>12497413.979999999</v>
      </c>
      <c r="H5" s="42"/>
    </row>
    <row r="6" spans="1:8">
      <c r="A6" s="10" t="s">
        <v>10</v>
      </c>
      <c r="B6" s="49">
        <f>9908745.39-48500</f>
        <v>9860245.3900000006</v>
      </c>
      <c r="C6" s="11">
        <v>-14893.900000000023</v>
      </c>
      <c r="D6" s="11">
        <f>+B6+C6</f>
        <v>9845351.4900000002</v>
      </c>
      <c r="E6" s="11"/>
      <c r="F6" s="11">
        <v>2094979.9200000002</v>
      </c>
      <c r="G6" s="11">
        <f>D6-E6-F6</f>
        <v>7750371.5700000003</v>
      </c>
      <c r="H6" s="42"/>
    </row>
    <row r="7" spans="1:8">
      <c r="A7" s="10" t="s">
        <v>11</v>
      </c>
      <c r="B7" s="49">
        <f>2615755.34-70000</f>
        <v>2545755.34</v>
      </c>
      <c r="C7">
        <v>600000</v>
      </c>
      <c r="D7" s="11">
        <f t="shared" ref="D7:D22" si="2">+B7+C7</f>
        <v>3145755.34</v>
      </c>
      <c r="E7" s="11"/>
      <c r="F7" s="50">
        <v>699054.59</v>
      </c>
      <c r="G7" s="11">
        <f t="shared" ref="G7:G12" si="3">D7-E7-F7</f>
        <v>2446700.75</v>
      </c>
      <c r="H7" s="42"/>
    </row>
    <row r="8" spans="1:8">
      <c r="A8" s="10" t="s">
        <v>12</v>
      </c>
      <c r="B8" s="49"/>
      <c r="C8" s="11"/>
      <c r="D8" s="11">
        <f t="shared" si="2"/>
        <v>0</v>
      </c>
      <c r="E8" s="11"/>
      <c r="F8" s="11"/>
      <c r="G8" s="11">
        <f t="shared" si="3"/>
        <v>0</v>
      </c>
      <c r="H8" s="42"/>
    </row>
    <row r="9" spans="1:8">
      <c r="A9" s="10" t="s">
        <v>13</v>
      </c>
      <c r="B9">
        <v>350000</v>
      </c>
      <c r="C9" s="11">
        <v>120000</v>
      </c>
      <c r="D9" s="11">
        <f t="shared" si="2"/>
        <v>470000</v>
      </c>
      <c r="E9"/>
      <c r="F9">
        <f>17958.54+90527.37</f>
        <v>108485.91</v>
      </c>
      <c r="G9" s="11">
        <f t="shared" si="3"/>
        <v>361514.08999999997</v>
      </c>
      <c r="H9" s="42"/>
    </row>
    <row r="10" spans="1:8">
      <c r="A10" s="10" t="s">
        <v>14</v>
      </c>
      <c r="B10">
        <f>1861634.88-175000</f>
        <v>1686634.88</v>
      </c>
      <c r="C10" s="11">
        <v>-11865.200000000012</v>
      </c>
      <c r="D10" s="11">
        <f t="shared" si="2"/>
        <v>1674769.68</v>
      </c>
      <c r="E10" s="11"/>
      <c r="F10">
        <f>120087.06+6471</f>
        <v>126558.06</v>
      </c>
      <c r="G10" s="11">
        <f t="shared" si="3"/>
        <v>1548211.6199999999</v>
      </c>
      <c r="H10" s="42"/>
    </row>
    <row r="11" spans="1:8">
      <c r="A11" s="10" t="s">
        <v>15</v>
      </c>
      <c r="B11" s="11"/>
      <c r="C11" s="11"/>
      <c r="D11" s="11">
        <f t="shared" si="2"/>
        <v>0</v>
      </c>
      <c r="E11" s="11"/>
      <c r="F11" s="11"/>
      <c r="G11" s="11">
        <f t="shared" si="3"/>
        <v>0</v>
      </c>
      <c r="H11" s="42"/>
    </row>
    <row r="12" spans="1:8">
      <c r="A12" s="10" t="s">
        <v>16</v>
      </c>
      <c r="B12">
        <v>427583.56</v>
      </c>
      <c r="C12" s="11"/>
      <c r="D12" s="11">
        <f t="shared" si="2"/>
        <v>427583.56</v>
      </c>
      <c r="E12" s="11"/>
      <c r="F12">
        <v>36967.61</v>
      </c>
      <c r="G12" s="11">
        <f t="shared" si="3"/>
        <v>390615.95</v>
      </c>
    </row>
    <row r="13" spans="1:8">
      <c r="A13" s="8" t="s">
        <v>17</v>
      </c>
      <c r="B13" s="9">
        <f>SUM(B14:B22)</f>
        <v>1985800</v>
      </c>
      <c r="C13" s="9">
        <f t="shared" ref="C13:F13" si="4">SUM(C14:C22)</f>
        <v>-45000</v>
      </c>
      <c r="D13" s="9">
        <f t="shared" si="4"/>
        <v>1940800</v>
      </c>
      <c r="E13" s="9">
        <f t="shared" si="4"/>
        <v>15772.800000000001</v>
      </c>
      <c r="F13" s="9">
        <f t="shared" si="4"/>
        <v>400226.41</v>
      </c>
      <c r="G13" s="9">
        <f>SUM(G14:G22)</f>
        <v>1524800.79</v>
      </c>
      <c r="H13" s="42"/>
    </row>
    <row r="14" spans="1:8">
      <c r="A14" s="48" t="s">
        <v>18</v>
      </c>
      <c r="B14">
        <v>441800</v>
      </c>
      <c r="C14">
        <v>-45000</v>
      </c>
      <c r="D14" s="11">
        <f t="shared" si="2"/>
        <v>396800</v>
      </c>
      <c r="E14"/>
      <c r="F14">
        <f>4634.08+59123.46</f>
        <v>63757.54</v>
      </c>
      <c r="G14" s="11">
        <f t="shared" ref="G14:G22" si="5">D14-E14-F14</f>
        <v>333042.46000000002</v>
      </c>
    </row>
    <row r="15" spans="1:8">
      <c r="A15" s="10" t="s">
        <v>19</v>
      </c>
      <c r="B15">
        <v>664000</v>
      </c>
      <c r="C15" s="11"/>
      <c r="D15" s="11">
        <f t="shared" si="2"/>
        <v>664000</v>
      </c>
      <c r="E15" s="55">
        <v>1166.78</v>
      </c>
      <c r="F15">
        <f>138183.88-960</f>
        <v>137223.88</v>
      </c>
      <c r="G15" s="11">
        <f t="shared" si="5"/>
        <v>525609.34</v>
      </c>
    </row>
    <row r="16" spans="1:8">
      <c r="A16" s="10" t="s">
        <v>20</v>
      </c>
      <c r="B16" s="11"/>
      <c r="C16" s="11"/>
      <c r="D16" s="11">
        <f t="shared" si="2"/>
        <v>0</v>
      </c>
      <c r="E16" s="11"/>
      <c r="F16" s="11"/>
      <c r="G16" s="11">
        <f t="shared" si="5"/>
        <v>0</v>
      </c>
    </row>
    <row r="17" spans="1:9">
      <c r="A17" s="10" t="s">
        <v>21</v>
      </c>
      <c r="B17">
        <v>135000</v>
      </c>
      <c r="C17" s="11"/>
      <c r="D17" s="11">
        <f t="shared" si="2"/>
        <v>135000</v>
      </c>
      <c r="E17">
        <v>0</v>
      </c>
      <c r="F17">
        <f>2286.2+9737.6</f>
        <v>12023.8</v>
      </c>
      <c r="G17" s="11">
        <f t="shared" si="5"/>
        <v>122976.2</v>
      </c>
    </row>
    <row r="18" spans="1:9">
      <c r="A18" s="10" t="s">
        <v>22</v>
      </c>
      <c r="B18" s="11"/>
      <c r="C18" s="11"/>
      <c r="D18" s="11">
        <f t="shared" si="2"/>
        <v>0</v>
      </c>
      <c r="E18" s="11"/>
      <c r="F18" s="11"/>
      <c r="G18" s="11">
        <f t="shared" si="5"/>
        <v>0</v>
      </c>
    </row>
    <row r="19" spans="1:9">
      <c r="A19" s="10" t="s">
        <v>23</v>
      </c>
      <c r="B19">
        <v>520000</v>
      </c>
      <c r="C19" s="11"/>
      <c r="D19" s="11">
        <f t="shared" si="2"/>
        <v>520000</v>
      </c>
      <c r="E19"/>
      <c r="F19">
        <f>1204.46+154415.32</f>
        <v>155619.78</v>
      </c>
      <c r="G19" s="11">
        <f t="shared" si="5"/>
        <v>364380.22</v>
      </c>
    </row>
    <row r="20" spans="1:9">
      <c r="A20" s="10" t="s">
        <v>24</v>
      </c>
      <c r="B20">
        <v>70000</v>
      </c>
      <c r="C20" s="11"/>
      <c r="D20" s="11">
        <f t="shared" si="2"/>
        <v>70000</v>
      </c>
      <c r="E20"/>
      <c r="F20" s="11">
        <v>10445.799999999999</v>
      </c>
      <c r="G20" s="11">
        <f t="shared" si="5"/>
        <v>59554.2</v>
      </c>
    </row>
    <row r="21" spans="1:9">
      <c r="A21" s="10" t="s">
        <v>25</v>
      </c>
      <c r="B21">
        <v>10000</v>
      </c>
      <c r="C21" s="11"/>
      <c r="D21" s="11">
        <f t="shared" si="2"/>
        <v>10000</v>
      </c>
      <c r="E21" s="11"/>
      <c r="F21" s="11"/>
      <c r="G21" s="11">
        <f t="shared" si="5"/>
        <v>10000</v>
      </c>
      <c r="I21" s="42"/>
    </row>
    <row r="22" spans="1:9">
      <c r="A22" s="10" t="s">
        <v>26</v>
      </c>
      <c r="B22">
        <v>145000</v>
      </c>
      <c r="C22" s="11"/>
      <c r="D22" s="11">
        <f t="shared" si="2"/>
        <v>145000</v>
      </c>
      <c r="E22" s="55">
        <v>14606.02</v>
      </c>
      <c r="F22">
        <f>1869.79+19285.82</f>
        <v>21155.61</v>
      </c>
      <c r="G22" s="11">
        <f t="shared" si="5"/>
        <v>109238.37</v>
      </c>
      <c r="I22" s="42"/>
    </row>
    <row r="23" spans="1:9">
      <c r="A23" s="8" t="s">
        <v>27</v>
      </c>
      <c r="B23" s="9">
        <f>SUM(B24:B32)</f>
        <v>4281069.1399999997</v>
      </c>
      <c r="C23" s="9">
        <f t="shared" ref="C23:F23" si="6">SUM(C24:C32)</f>
        <v>-658797.96</v>
      </c>
      <c r="D23" s="9">
        <f t="shared" si="6"/>
        <v>3622271.1799999997</v>
      </c>
      <c r="E23" s="9">
        <f t="shared" si="6"/>
        <v>0</v>
      </c>
      <c r="F23" s="9">
        <f t="shared" si="6"/>
        <v>421515.25</v>
      </c>
      <c r="G23" s="9">
        <f>SUM(G24:G32)</f>
        <v>3200755.9299999997</v>
      </c>
      <c r="H23" s="42"/>
    </row>
    <row r="24" spans="1:9">
      <c r="A24" s="10" t="s">
        <v>28</v>
      </c>
      <c r="B24">
        <v>394500</v>
      </c>
      <c r="C24" s="11"/>
      <c r="D24" s="11">
        <f t="shared" ref="D24:D32" si="7">+B24+C24</f>
        <v>394500</v>
      </c>
      <c r="E24"/>
      <c r="F24">
        <f>1345+59715.06</f>
        <v>61060.06</v>
      </c>
      <c r="G24" s="11">
        <f t="shared" ref="G24:G32" si="8">D24-E24-F24</f>
        <v>333439.94</v>
      </c>
      <c r="H24" s="42"/>
    </row>
    <row r="25" spans="1:9">
      <c r="A25" s="10" t="s">
        <v>29</v>
      </c>
      <c r="B25">
        <v>90000</v>
      </c>
      <c r="C25" s="11"/>
      <c r="D25" s="11">
        <f t="shared" si="7"/>
        <v>90000</v>
      </c>
      <c r="E25" s="11"/>
      <c r="F25">
        <v>19222.86</v>
      </c>
      <c r="G25" s="11">
        <f t="shared" si="8"/>
        <v>70777.14</v>
      </c>
    </row>
    <row r="26" spans="1:9">
      <c r="A26" s="10" t="s">
        <v>30</v>
      </c>
      <c r="B26" s="11">
        <v>323000</v>
      </c>
      <c r="C26" s="11"/>
      <c r="D26" s="11">
        <f t="shared" si="7"/>
        <v>323000</v>
      </c>
      <c r="E26" s="11"/>
      <c r="F26" s="11">
        <f>15242.56+19231.2</f>
        <v>34473.760000000002</v>
      </c>
      <c r="G26" s="11">
        <f t="shared" si="8"/>
        <v>288526.24</v>
      </c>
    </row>
    <row r="27" spans="1:9">
      <c r="A27" s="10" t="s">
        <v>31</v>
      </c>
      <c r="B27" s="11">
        <v>176000</v>
      </c>
      <c r="C27" s="11">
        <v>5000</v>
      </c>
      <c r="D27" s="11">
        <f t="shared" si="7"/>
        <v>181000</v>
      </c>
      <c r="E27" s="11"/>
      <c r="F27" s="11">
        <f>4245.02+84942.01</f>
        <v>89187.03</v>
      </c>
      <c r="G27" s="11">
        <f t="shared" si="8"/>
        <v>91812.97</v>
      </c>
    </row>
    <row r="28" spans="1:9">
      <c r="A28" s="10" t="s">
        <v>32</v>
      </c>
      <c r="B28" s="11">
        <v>1024800</v>
      </c>
      <c r="C28" s="11"/>
      <c r="D28" s="11">
        <f t="shared" si="7"/>
        <v>1024800</v>
      </c>
      <c r="E28" s="11"/>
      <c r="F28" s="11">
        <f>10758.9+88540.01</f>
        <v>99298.909999999989</v>
      </c>
      <c r="G28" s="11">
        <f t="shared" si="8"/>
        <v>925501.09</v>
      </c>
    </row>
    <row r="29" spans="1:9">
      <c r="A29" s="10" t="s">
        <v>33</v>
      </c>
      <c r="B29" s="11">
        <v>6100</v>
      </c>
      <c r="C29" s="11"/>
      <c r="D29" s="11">
        <f t="shared" si="7"/>
        <v>6100</v>
      </c>
      <c r="E29" s="11"/>
      <c r="F29" s="11"/>
      <c r="G29" s="11">
        <f t="shared" si="8"/>
        <v>6100</v>
      </c>
    </row>
    <row r="30" spans="1:9">
      <c r="A30" s="10" t="s">
        <v>34</v>
      </c>
      <c r="B30" s="11">
        <f>138100.42-3600</f>
        <v>134500.42000000001</v>
      </c>
      <c r="C30" s="11">
        <v>20000</v>
      </c>
      <c r="D30" s="11">
        <f t="shared" si="7"/>
        <v>154500.42000000001</v>
      </c>
      <c r="E30" s="11"/>
      <c r="F30" s="11">
        <f>19003.43+116</f>
        <v>19119.43</v>
      </c>
      <c r="G30" s="11">
        <f t="shared" si="8"/>
        <v>135380.99000000002</v>
      </c>
    </row>
    <row r="31" spans="1:9">
      <c r="A31" s="10" t="s">
        <v>35</v>
      </c>
      <c r="B31" s="11">
        <v>1830230</v>
      </c>
      <c r="C31" s="11">
        <v>-673000</v>
      </c>
      <c r="D31" s="11">
        <f t="shared" si="7"/>
        <v>1157230</v>
      </c>
      <c r="E31" s="11"/>
      <c r="F31" s="11">
        <f>7068.5+28410.2</f>
        <v>35478.699999999997</v>
      </c>
      <c r="G31" s="11">
        <f t="shared" si="8"/>
        <v>1121751.3</v>
      </c>
    </row>
    <row r="32" spans="1:9">
      <c r="A32" s="10" t="s">
        <v>36</v>
      </c>
      <c r="B32" s="11">
        <v>301938.71999999997</v>
      </c>
      <c r="C32" s="11">
        <v>-10797.96</v>
      </c>
      <c r="D32" s="11">
        <f t="shared" si="7"/>
        <v>291140.75999999995</v>
      </c>
      <c r="E32" s="11"/>
      <c r="F32" s="11">
        <f>59462.5+4212</f>
        <v>63674.5</v>
      </c>
      <c r="G32" s="11">
        <f t="shared" si="8"/>
        <v>227466.25999999995</v>
      </c>
    </row>
    <row r="33" spans="1:10">
      <c r="A33" s="8" t="s">
        <v>37</v>
      </c>
      <c r="B33" s="9">
        <f>SUM(B34:B42)</f>
        <v>4335911.6900000004</v>
      </c>
      <c r="C33" s="9">
        <f t="shared" ref="C33:F33" si="9">SUM(C34:C42)</f>
        <v>-105692.74000000005</v>
      </c>
      <c r="D33" s="9">
        <f t="shared" si="9"/>
        <v>4230218.95</v>
      </c>
      <c r="E33" s="9">
        <f t="shared" si="9"/>
        <v>0</v>
      </c>
      <c r="F33" s="9">
        <f t="shared" si="9"/>
        <v>890558.99000000011</v>
      </c>
      <c r="G33" s="9">
        <f>SUM(G34:G42)</f>
        <v>3339659.96</v>
      </c>
      <c r="H33" s="42"/>
    </row>
    <row r="34" spans="1:10">
      <c r="A34" s="10" t="s">
        <v>38</v>
      </c>
      <c r="B34" s="11"/>
      <c r="C34" s="11"/>
      <c r="D34" s="11"/>
      <c r="E34" s="11"/>
      <c r="F34" s="11"/>
      <c r="G34" s="11">
        <f t="shared" ref="G34:G70" si="10">D34-E34</f>
        <v>0</v>
      </c>
    </row>
    <row r="35" spans="1:10">
      <c r="A35" s="10" t="s">
        <v>39</v>
      </c>
      <c r="B35" s="11"/>
      <c r="C35" s="11"/>
      <c r="D35" s="11"/>
      <c r="E35" s="11"/>
      <c r="F35" s="11"/>
      <c r="G35" s="11">
        <f t="shared" si="10"/>
        <v>0</v>
      </c>
    </row>
    <row r="36" spans="1:10">
      <c r="A36" s="10" t="s">
        <v>40</v>
      </c>
      <c r="B36" s="11"/>
      <c r="C36" s="11"/>
      <c r="D36" s="11"/>
      <c r="E36" s="11"/>
      <c r="F36" s="11"/>
      <c r="G36" s="11">
        <f t="shared" si="10"/>
        <v>0</v>
      </c>
    </row>
    <row r="37" spans="1:10">
      <c r="A37" s="10" t="s">
        <v>41</v>
      </c>
      <c r="B37" s="11">
        <f>4715399.99-1000000</f>
        <v>3715399.99</v>
      </c>
      <c r="C37" s="11">
        <v>-105692.74000000005</v>
      </c>
      <c r="D37" s="11">
        <f t="shared" ref="D37:D38" si="11">+B37+C37</f>
        <v>3609707.25</v>
      </c>
      <c r="E37" s="11"/>
      <c r="F37" s="11">
        <f>605623.8+258341.55</f>
        <v>863965.35000000009</v>
      </c>
      <c r="G37" s="11">
        <f t="shared" ref="G37:G38" si="12">D37-E37-F37</f>
        <v>2745741.9</v>
      </c>
    </row>
    <row r="38" spans="1:10">
      <c r="A38" s="10" t="s">
        <v>42</v>
      </c>
      <c r="B38" s="11">
        <v>620511.69999999995</v>
      </c>
      <c r="C38" s="11"/>
      <c r="D38" s="11">
        <f t="shared" si="11"/>
        <v>620511.69999999995</v>
      </c>
      <c r="E38" s="11"/>
      <c r="F38" s="11">
        <v>26593.64</v>
      </c>
      <c r="G38" s="11">
        <f t="shared" si="12"/>
        <v>593918.05999999994</v>
      </c>
    </row>
    <row r="39" spans="1:10">
      <c r="A39" s="10" t="s">
        <v>43</v>
      </c>
      <c r="B39" s="11"/>
      <c r="C39" s="11"/>
      <c r="D39" s="11"/>
      <c r="E39" s="11"/>
      <c r="F39" s="11"/>
      <c r="G39" s="11">
        <f t="shared" si="10"/>
        <v>0</v>
      </c>
    </row>
    <row r="40" spans="1:10">
      <c r="A40" s="10" t="s">
        <v>44</v>
      </c>
      <c r="B40" s="11"/>
      <c r="C40" s="11"/>
      <c r="D40" s="11"/>
      <c r="E40" s="11"/>
      <c r="F40" s="11"/>
      <c r="G40" s="11">
        <f t="shared" si="10"/>
        <v>0</v>
      </c>
      <c r="J40" s="1">
        <f>4000+8000+14438.89</f>
        <v>26438.89</v>
      </c>
    </row>
    <row r="41" spans="1:10">
      <c r="A41" s="10" t="s">
        <v>45</v>
      </c>
      <c r="B41" s="11"/>
      <c r="C41" s="11"/>
      <c r="D41" s="11"/>
      <c r="E41" s="11"/>
      <c r="F41" s="11"/>
      <c r="G41" s="11">
        <f t="shared" si="10"/>
        <v>0</v>
      </c>
    </row>
    <row r="42" spans="1:10">
      <c r="A42" s="10" t="s">
        <v>46</v>
      </c>
      <c r="B42" s="11"/>
      <c r="C42" s="11"/>
      <c r="D42" s="11"/>
      <c r="E42" s="11"/>
      <c r="F42" s="11"/>
      <c r="G42" s="11">
        <f t="shared" si="10"/>
        <v>0</v>
      </c>
      <c r="I42" s="42"/>
    </row>
    <row r="43" spans="1:10">
      <c r="A43" s="8" t="s">
        <v>47</v>
      </c>
      <c r="B43" s="9">
        <f>SUM(B44:B52)</f>
        <v>702000</v>
      </c>
      <c r="C43" s="9">
        <f t="shared" ref="C43:F43" si="13">SUM(C44:C52)</f>
        <v>116249.8</v>
      </c>
      <c r="D43" s="9">
        <f t="shared" si="13"/>
        <v>818249.8</v>
      </c>
      <c r="E43" s="9">
        <f t="shared" si="13"/>
        <v>0</v>
      </c>
      <c r="F43" s="9">
        <f t="shared" si="13"/>
        <v>492537.61</v>
      </c>
      <c r="G43" s="9">
        <f>SUM(G44:G52)</f>
        <v>325712.19000000006</v>
      </c>
      <c r="I43" s="42"/>
    </row>
    <row r="44" spans="1:10">
      <c r="A44" s="10" t="s">
        <v>48</v>
      </c>
      <c r="B44" s="11">
        <v>35000</v>
      </c>
      <c r="C44" s="11"/>
      <c r="D44" s="11">
        <f t="shared" ref="D44:D47" si="14">+B44+C44</f>
        <v>35000</v>
      </c>
      <c r="E44" s="11"/>
      <c r="F44" s="11">
        <v>1299.2</v>
      </c>
      <c r="G44" s="11">
        <f>D44-E44-F44</f>
        <v>33700.800000000003</v>
      </c>
      <c r="H44" s="42"/>
    </row>
    <row r="45" spans="1:10">
      <c r="A45" s="10" t="s">
        <v>49</v>
      </c>
      <c r="B45" s="11"/>
      <c r="C45" s="11"/>
      <c r="D45" s="11"/>
      <c r="E45" s="11"/>
      <c r="F45" s="11"/>
      <c r="G45" s="11">
        <f t="shared" ref="G45:G52" si="15">D45-E45-F45</f>
        <v>0</v>
      </c>
    </row>
    <row r="46" spans="1:10">
      <c r="A46" s="10" t="s">
        <v>50</v>
      </c>
      <c r="B46" s="11">
        <v>56000</v>
      </c>
      <c r="C46" s="11"/>
      <c r="D46" s="11">
        <f t="shared" si="14"/>
        <v>56000</v>
      </c>
      <c r="E46" s="11"/>
      <c r="F46" s="11"/>
      <c r="G46" s="11">
        <f t="shared" si="15"/>
        <v>56000</v>
      </c>
    </row>
    <row r="47" spans="1:10">
      <c r="A47" s="10" t="s">
        <v>51</v>
      </c>
      <c r="B47" s="11">
        <v>460000</v>
      </c>
      <c r="C47" s="11">
        <v>71249.8</v>
      </c>
      <c r="D47" s="11">
        <f t="shared" si="14"/>
        <v>531249.80000000005</v>
      </c>
      <c r="E47" s="11"/>
      <c r="F47" s="11">
        <f>27549.8+458700</f>
        <v>486249.8</v>
      </c>
      <c r="G47" s="11">
        <f t="shared" si="15"/>
        <v>45000.000000000058</v>
      </c>
    </row>
    <row r="48" spans="1:10">
      <c r="A48" s="10" t="s">
        <v>52</v>
      </c>
      <c r="B48" s="11"/>
      <c r="C48" s="11"/>
      <c r="D48" s="11"/>
      <c r="E48" s="11"/>
      <c r="F48" s="11"/>
      <c r="G48" s="11">
        <f t="shared" si="15"/>
        <v>0</v>
      </c>
    </row>
    <row r="49" spans="1:7">
      <c r="A49" s="10" t="s">
        <v>53</v>
      </c>
      <c r="B49" s="11">
        <v>151000</v>
      </c>
      <c r="C49" s="11">
        <v>45000</v>
      </c>
      <c r="D49" s="11">
        <f t="shared" ref="D49" si="16">+B49+C49</f>
        <v>196000</v>
      </c>
      <c r="E49" s="11"/>
      <c r="F49" s="11">
        <f>1370.6+3618.01</f>
        <v>4988.6100000000006</v>
      </c>
      <c r="G49" s="11">
        <f t="shared" si="15"/>
        <v>191011.39</v>
      </c>
    </row>
    <row r="50" spans="1:7">
      <c r="A50" s="10" t="s">
        <v>54</v>
      </c>
      <c r="B50" s="11"/>
      <c r="C50" s="11"/>
      <c r="D50" s="11"/>
      <c r="E50" s="11"/>
      <c r="F50" s="11"/>
      <c r="G50" s="11">
        <f t="shared" si="15"/>
        <v>0</v>
      </c>
    </row>
    <row r="51" spans="1:7">
      <c r="A51" s="10" t="s">
        <v>55</v>
      </c>
      <c r="B51" s="11"/>
      <c r="C51" s="11"/>
      <c r="D51" s="11"/>
      <c r="E51" s="11"/>
      <c r="F51" s="11"/>
      <c r="G51" s="11">
        <f t="shared" si="15"/>
        <v>0</v>
      </c>
    </row>
    <row r="52" spans="1:7">
      <c r="A52" s="10" t="s">
        <v>56</v>
      </c>
      <c r="B52" s="11"/>
      <c r="C52" s="11"/>
      <c r="D52" s="11"/>
      <c r="E52" s="11"/>
      <c r="F52" s="11"/>
      <c r="G52" s="11">
        <f t="shared" si="15"/>
        <v>0</v>
      </c>
    </row>
    <row r="53" spans="1:7">
      <c r="A53" s="8" t="s">
        <v>57</v>
      </c>
      <c r="B53" s="9">
        <f>SUM(B54:B56)</f>
        <v>0</v>
      </c>
      <c r="C53" s="9">
        <f t="shared" ref="C53:F53" si="17">SUM(C54:C56)</f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0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11">
        <f t="shared" si="10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11">
        <f t="shared" si="10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11">
        <f t="shared" si="10"/>
        <v>0</v>
      </c>
    </row>
    <row r="57" spans="1:7">
      <c r="A57" s="8" t="s">
        <v>61</v>
      </c>
      <c r="B57" s="9">
        <f>SUM(B58:B65)</f>
        <v>0</v>
      </c>
      <c r="C57" s="9">
        <f t="shared" ref="C57:F57" si="18">SUM(C58:C65)</f>
        <v>0</v>
      </c>
      <c r="D57" s="9">
        <f t="shared" si="18"/>
        <v>0</v>
      </c>
      <c r="E57" s="9">
        <f t="shared" si="18"/>
        <v>0</v>
      </c>
      <c r="F57" s="9">
        <f t="shared" si="18"/>
        <v>0</v>
      </c>
      <c r="G57" s="9">
        <f t="shared" si="10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11">
        <f t="shared" si="10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11">
        <f t="shared" si="10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11">
        <f t="shared" si="10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11">
        <f t="shared" si="10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11">
        <f t="shared" si="10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11">
        <f t="shared" si="10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11">
        <f t="shared" si="10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11">
        <f t="shared" si="10"/>
        <v>0</v>
      </c>
    </row>
    <row r="66" spans="1:7">
      <c r="A66" s="8" t="s">
        <v>70</v>
      </c>
      <c r="B66" s="9">
        <f>SUM(B67:B69)</f>
        <v>0</v>
      </c>
      <c r="C66" s="9">
        <f t="shared" ref="C66:F66" si="19">SUM(C67:C69)</f>
        <v>0</v>
      </c>
      <c r="D66" s="9">
        <f t="shared" si="19"/>
        <v>0</v>
      </c>
      <c r="E66" s="9">
        <f t="shared" si="19"/>
        <v>0</v>
      </c>
      <c r="F66" s="9">
        <f t="shared" si="19"/>
        <v>0</v>
      </c>
      <c r="G66" s="9">
        <f t="shared" si="10"/>
        <v>0</v>
      </c>
    </row>
    <row r="67" spans="1:7">
      <c r="A67" s="10" t="s">
        <v>71</v>
      </c>
      <c r="B67" s="11"/>
      <c r="C67" s="11"/>
      <c r="D67" s="11"/>
      <c r="E67" s="11"/>
      <c r="F67" s="11"/>
      <c r="G67" s="11">
        <f t="shared" si="10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11">
        <f t="shared" si="10"/>
        <v>0</v>
      </c>
    </row>
    <row r="69" spans="1:7">
      <c r="A69" s="10" t="s">
        <v>73</v>
      </c>
      <c r="B69" s="11"/>
      <c r="C69" s="11"/>
      <c r="D69" s="11"/>
      <c r="E69" s="11"/>
      <c r="F69" s="11"/>
      <c r="G69" s="11">
        <f t="shared" si="10"/>
        <v>0</v>
      </c>
    </row>
    <row r="70" spans="1:7">
      <c r="A70" s="8" t="s">
        <v>74</v>
      </c>
      <c r="B70" s="9">
        <f>SUM(B71:B77)</f>
        <v>0</v>
      </c>
      <c r="C70" s="9">
        <f t="shared" ref="C70:F70" si="20">SUM(C71:C77)</f>
        <v>0</v>
      </c>
      <c r="D70" s="9">
        <f t="shared" si="20"/>
        <v>0</v>
      </c>
      <c r="E70" s="9">
        <f t="shared" si="20"/>
        <v>0</v>
      </c>
      <c r="F70" s="9">
        <f t="shared" si="20"/>
        <v>0</v>
      </c>
      <c r="G70" s="9">
        <f t="shared" si="10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11">
        <f t="shared" ref="G71:G77" si="2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11">
        <f t="shared" si="2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11">
        <f t="shared" si="2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11">
        <f t="shared" si="2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11">
        <f t="shared" si="2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11">
        <f t="shared" si="2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11">
        <f t="shared" si="2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1297100</v>
      </c>
      <c r="C79" s="13">
        <f t="shared" ref="C79:G79" si="22">C80+C88+C98+C108+C118+C128+C132+C141+C145</f>
        <v>0</v>
      </c>
      <c r="D79" s="13">
        <f t="shared" si="22"/>
        <v>1297100</v>
      </c>
      <c r="E79" s="13">
        <f t="shared" si="22"/>
        <v>0</v>
      </c>
      <c r="F79" s="13">
        <f t="shared" si="22"/>
        <v>76545.399999999994</v>
      </c>
      <c r="G79" s="13">
        <f t="shared" si="22"/>
        <v>1220554.6000000001</v>
      </c>
    </row>
    <row r="80" spans="1:7">
      <c r="A80" s="14" t="s">
        <v>9</v>
      </c>
      <c r="B80" s="13">
        <f>SUM(B81:B87)</f>
        <v>293500</v>
      </c>
      <c r="C80" s="13">
        <f t="shared" ref="C80:G80" si="23">SUM(C81:C87)</f>
        <v>0</v>
      </c>
      <c r="D80" s="13">
        <f t="shared" si="23"/>
        <v>293500</v>
      </c>
      <c r="E80" s="13">
        <f t="shared" si="23"/>
        <v>0</v>
      </c>
      <c r="F80" s="13">
        <f t="shared" si="23"/>
        <v>76545.399999999994</v>
      </c>
      <c r="G80" s="13">
        <f t="shared" si="23"/>
        <v>216954.6</v>
      </c>
    </row>
    <row r="81" spans="1:8">
      <c r="A81" s="15" t="s">
        <v>10</v>
      </c>
      <c r="B81">
        <v>48500</v>
      </c>
      <c r="C81" s="16"/>
      <c r="D81" s="16">
        <f>+B81+C81</f>
        <v>48500</v>
      </c>
      <c r="E81" s="16"/>
      <c r="F81" s="16"/>
      <c r="G81" s="11">
        <f t="shared" ref="G81:G82" si="24">D81-E81-F81</f>
        <v>48500</v>
      </c>
    </row>
    <row r="82" spans="1:8">
      <c r="A82" s="15" t="s">
        <v>11</v>
      </c>
      <c r="B82">
        <v>70000</v>
      </c>
      <c r="C82" s="16"/>
      <c r="D82" s="16">
        <f>+B82+C82</f>
        <v>70000</v>
      </c>
      <c r="E82" s="16"/>
      <c r="F82" s="16"/>
      <c r="G82" s="11">
        <f t="shared" si="24"/>
        <v>70000</v>
      </c>
      <c r="H82" s="50"/>
    </row>
    <row r="83" spans="1:8">
      <c r="A83" s="15" t="s">
        <v>12</v>
      </c>
      <c r="B83">
        <v>175000</v>
      </c>
      <c r="C83" s="16">
        <v>0</v>
      </c>
      <c r="D83" s="16">
        <f>+B83+C83</f>
        <v>175000</v>
      </c>
      <c r="E83" s="16"/>
      <c r="F83" s="50">
        <v>76545.399999999994</v>
      </c>
      <c r="G83" s="16">
        <f>D83-E83-F83</f>
        <v>98454.6</v>
      </c>
      <c r="H83" s="42"/>
    </row>
    <row r="84" spans="1:8">
      <c r="A84" s="15" t="s">
        <v>13</v>
      </c>
      <c r="B84" s="16"/>
      <c r="C84" s="16"/>
      <c r="D84" s="16"/>
      <c r="E84" s="16"/>
      <c r="F84" s="16"/>
      <c r="G84" s="16">
        <f t="shared" ref="G84:G144" si="25">D84-E84</f>
        <v>0</v>
      </c>
      <c r="H84" s="42"/>
    </row>
    <row r="85" spans="1:8">
      <c r="A85" s="15" t="s">
        <v>14</v>
      </c>
      <c r="B85" s="16"/>
      <c r="C85" s="16"/>
      <c r="D85" s="16"/>
      <c r="E85" s="16"/>
      <c r="F85" s="16"/>
      <c r="G85" s="16">
        <f t="shared" si="25"/>
        <v>0</v>
      </c>
    </row>
    <row r="86" spans="1:8">
      <c r="A86" s="15" t="s">
        <v>15</v>
      </c>
      <c r="B86" s="16"/>
      <c r="C86" s="16"/>
      <c r="D86" s="16"/>
      <c r="E86" s="16"/>
      <c r="F86" s="16"/>
      <c r="G86" s="16">
        <f t="shared" si="25"/>
        <v>0</v>
      </c>
      <c r="H86" s="42"/>
    </row>
    <row r="87" spans="1:8">
      <c r="A87" s="15" t="s">
        <v>16</v>
      </c>
      <c r="B87" s="16"/>
      <c r="C87" s="16"/>
      <c r="D87" s="16"/>
      <c r="E87" s="16"/>
      <c r="F87" s="16"/>
      <c r="G87" s="16">
        <f t="shared" si="25"/>
        <v>0</v>
      </c>
    </row>
    <row r="88" spans="1:8">
      <c r="A88" s="14" t="s">
        <v>17</v>
      </c>
      <c r="B88" s="13">
        <f>SUM(B89:B97)</f>
        <v>0</v>
      </c>
      <c r="C88" s="13">
        <f t="shared" ref="C88:F88" si="26">SUM(C89:C97)</f>
        <v>0</v>
      </c>
      <c r="D88" s="13">
        <f t="shared" si="26"/>
        <v>0</v>
      </c>
      <c r="E88" s="13">
        <f t="shared" si="26"/>
        <v>0</v>
      </c>
      <c r="F88" s="13">
        <f t="shared" si="26"/>
        <v>0</v>
      </c>
      <c r="G88" s="13">
        <f t="shared" si="25"/>
        <v>0</v>
      </c>
    </row>
    <row r="89" spans="1:8">
      <c r="A89" s="15" t="s">
        <v>18</v>
      </c>
      <c r="B89" s="16"/>
      <c r="C89" s="16"/>
      <c r="D89" s="16"/>
      <c r="E89" s="16"/>
      <c r="F89" s="16"/>
      <c r="G89" s="16">
        <f t="shared" si="25"/>
        <v>0</v>
      </c>
    </row>
    <row r="90" spans="1:8">
      <c r="A90" s="15" t="s">
        <v>19</v>
      </c>
      <c r="B90" s="16"/>
      <c r="C90" s="16"/>
      <c r="D90" s="16"/>
      <c r="E90" s="16"/>
      <c r="F90" s="16"/>
      <c r="G90" s="16">
        <f t="shared" si="25"/>
        <v>0</v>
      </c>
    </row>
    <row r="91" spans="1:8">
      <c r="A91" s="15" t="s">
        <v>20</v>
      </c>
      <c r="B91" s="16"/>
      <c r="C91" s="16"/>
      <c r="D91" s="16"/>
      <c r="E91" s="16"/>
      <c r="F91" s="16"/>
      <c r="G91" s="16">
        <f t="shared" si="25"/>
        <v>0</v>
      </c>
    </row>
    <row r="92" spans="1:8">
      <c r="A92" s="15" t="s">
        <v>21</v>
      </c>
      <c r="B92" s="16"/>
      <c r="C92" s="16"/>
      <c r="D92" s="16"/>
      <c r="E92" s="16"/>
      <c r="F92" s="16"/>
      <c r="G92" s="16">
        <f t="shared" si="25"/>
        <v>0</v>
      </c>
    </row>
    <row r="93" spans="1:8">
      <c r="A93" s="15" t="s">
        <v>22</v>
      </c>
      <c r="B93" s="16"/>
      <c r="C93" s="16"/>
      <c r="D93" s="16"/>
      <c r="E93" s="16"/>
      <c r="F93" s="16"/>
      <c r="G93" s="16">
        <f t="shared" si="25"/>
        <v>0</v>
      </c>
    </row>
    <row r="94" spans="1:8">
      <c r="A94" s="15" t="s">
        <v>23</v>
      </c>
      <c r="B94" s="16"/>
      <c r="C94" s="16"/>
      <c r="D94" s="16"/>
      <c r="E94" s="16"/>
      <c r="F94" s="16"/>
      <c r="G94" s="16">
        <f t="shared" si="25"/>
        <v>0</v>
      </c>
    </row>
    <row r="95" spans="1:8">
      <c r="A95" s="15" t="s">
        <v>24</v>
      </c>
      <c r="B95" s="16"/>
      <c r="C95" s="16"/>
      <c r="D95" s="16"/>
      <c r="E95" s="16"/>
      <c r="F95" s="16"/>
      <c r="G95" s="16">
        <f t="shared" si="25"/>
        <v>0</v>
      </c>
    </row>
    <row r="96" spans="1:8">
      <c r="A96" s="15" t="s">
        <v>25</v>
      </c>
      <c r="B96" s="16"/>
      <c r="C96" s="16"/>
      <c r="D96" s="16"/>
      <c r="E96" s="16"/>
      <c r="F96" s="16"/>
      <c r="G96" s="16">
        <f t="shared" si="25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25"/>
        <v>0</v>
      </c>
    </row>
    <row r="98" spans="1:7">
      <c r="A98" s="14" t="s">
        <v>27</v>
      </c>
      <c r="B98" s="13">
        <f>SUM(B99:B107)</f>
        <v>3600</v>
      </c>
      <c r="C98" s="13">
        <f t="shared" ref="C98:F98" si="27">SUM(C99:C107)</f>
        <v>0</v>
      </c>
      <c r="D98" s="13">
        <f t="shared" si="27"/>
        <v>3600</v>
      </c>
      <c r="E98" s="13">
        <f t="shared" si="27"/>
        <v>0</v>
      </c>
      <c r="F98" s="13">
        <f t="shared" si="27"/>
        <v>0</v>
      </c>
      <c r="G98" s="13">
        <f t="shared" si="25"/>
        <v>3600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25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25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25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25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25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25"/>
        <v>0</v>
      </c>
    </row>
    <row r="105" spans="1:7">
      <c r="A105" s="15" t="s">
        <v>34</v>
      </c>
      <c r="B105">
        <v>3600</v>
      </c>
      <c r="C105" s="16"/>
      <c r="D105" s="16">
        <f>+B105+C105</f>
        <v>3600</v>
      </c>
      <c r="E105" s="16"/>
      <c r="F105" s="16"/>
      <c r="G105" s="16">
        <f t="shared" si="25"/>
        <v>3600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25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25"/>
        <v>0</v>
      </c>
    </row>
    <row r="108" spans="1:7">
      <c r="A108" s="14" t="s">
        <v>37</v>
      </c>
      <c r="B108" s="13">
        <f>SUM(B109:B117)</f>
        <v>1000000</v>
      </c>
      <c r="C108" s="13">
        <f t="shared" ref="C108:F108" si="28">SUM(C109:C117)</f>
        <v>0</v>
      </c>
      <c r="D108" s="13">
        <f t="shared" si="28"/>
        <v>1000000</v>
      </c>
      <c r="E108" s="13">
        <f t="shared" si="28"/>
        <v>0</v>
      </c>
      <c r="F108" s="13">
        <f t="shared" si="28"/>
        <v>0</v>
      </c>
      <c r="G108" s="13">
        <f t="shared" si="25"/>
        <v>1000000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25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25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25"/>
        <v>0</v>
      </c>
    </row>
    <row r="112" spans="1:7">
      <c r="A112" s="15" t="s">
        <v>41</v>
      </c>
      <c r="B112" s="16">
        <v>1000000</v>
      </c>
      <c r="C112" s="16"/>
      <c r="D112" s="16">
        <f>+B112+C112</f>
        <v>1000000</v>
      </c>
      <c r="E112" s="16"/>
      <c r="F112" s="16"/>
      <c r="G112" s="16">
        <f t="shared" si="25"/>
        <v>1000000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25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25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25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25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25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29">SUM(C119:C127)</f>
        <v>0</v>
      </c>
      <c r="D118" s="13">
        <f t="shared" si="29"/>
        <v>0</v>
      </c>
      <c r="E118" s="13">
        <f t="shared" si="29"/>
        <v>0</v>
      </c>
      <c r="F118" s="13">
        <f t="shared" si="29"/>
        <v>0</v>
      </c>
      <c r="G118" s="13">
        <f>SUM(G119:G127)</f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1">
        <f>D119-E119-F119</f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25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25"/>
        <v>0</v>
      </c>
    </row>
    <row r="122" spans="1:7">
      <c r="A122" s="15" t="s">
        <v>51</v>
      </c>
      <c r="B122" s="16">
        <v>0</v>
      </c>
      <c r="C122" s="16"/>
      <c r="D122" s="16"/>
      <c r="E122" s="16"/>
      <c r="F122" s="16"/>
      <c r="G122" s="11">
        <f>D122-E122-F122</f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25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25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25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25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25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30">SUM(C129:C131)</f>
        <v>0</v>
      </c>
      <c r="D128" s="13">
        <f t="shared" si="30"/>
        <v>0</v>
      </c>
      <c r="E128" s="13">
        <f t="shared" si="30"/>
        <v>0</v>
      </c>
      <c r="F128" s="13">
        <f t="shared" si="30"/>
        <v>0</v>
      </c>
      <c r="G128" s="13">
        <f t="shared" si="25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25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25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25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31">SUM(C133:C140)</f>
        <v>0</v>
      </c>
      <c r="D132" s="13">
        <f t="shared" si="31"/>
        <v>0</v>
      </c>
      <c r="E132" s="13">
        <f t="shared" si="31"/>
        <v>0</v>
      </c>
      <c r="F132" s="13">
        <f t="shared" si="31"/>
        <v>0</v>
      </c>
      <c r="G132" s="13">
        <f t="shared" si="25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25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25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25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25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25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25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25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25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32">SUM(C142:C144)</f>
        <v>0</v>
      </c>
      <c r="D141" s="13">
        <f t="shared" si="32"/>
        <v>0</v>
      </c>
      <c r="E141" s="13">
        <f t="shared" si="32"/>
        <v>0</v>
      </c>
      <c r="F141" s="13">
        <f t="shared" si="32"/>
        <v>0</v>
      </c>
      <c r="G141" s="13">
        <f t="shared" si="25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25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25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25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33">SUM(C146:C152)</f>
        <v>0</v>
      </c>
      <c r="D145" s="13">
        <f t="shared" si="33"/>
        <v>0</v>
      </c>
      <c r="E145" s="13">
        <f t="shared" si="33"/>
        <v>0</v>
      </c>
      <c r="F145" s="13">
        <f t="shared" si="33"/>
        <v>0</v>
      </c>
      <c r="G145" s="13">
        <f t="shared" ref="G145:G152" si="34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34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34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34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34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34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34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34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27472100.000000004</v>
      </c>
      <c r="C154" s="13">
        <f t="shared" ref="C154:G154" si="35">C4+C79</f>
        <v>-1.0186340659856796E-10</v>
      </c>
      <c r="D154" s="13">
        <f t="shared" si="35"/>
        <v>27472100</v>
      </c>
      <c r="E154" s="13">
        <f t="shared" si="35"/>
        <v>15772.800000000001</v>
      </c>
      <c r="F154" s="13">
        <f t="shared" si="35"/>
        <v>5347429.7500000009</v>
      </c>
      <c r="G154" s="13">
        <f t="shared" si="35"/>
        <v>22108897.450000003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9" spans="1:7">
      <c r="B159" s="42"/>
      <c r="D159" s="42"/>
      <c r="E159" s="42"/>
      <c r="F159" s="42"/>
      <c r="G159" s="42"/>
    </row>
    <row r="160" spans="1:7">
      <c r="D160" s="42"/>
    </row>
    <row r="161" spans="2:4">
      <c r="B161" s="42"/>
      <c r="D161" s="42"/>
    </row>
    <row r="162" spans="2:4">
      <c r="D162" s="42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sqref="A1:G1"/>
    </sheetView>
  </sheetViews>
  <sheetFormatPr baseColWidth="10" defaultRowHeight="11.25"/>
  <cols>
    <col min="1" max="1" width="72" style="19" bestFit="1" customWidth="1"/>
    <col min="2" max="7" width="16.83203125" style="19" customWidth="1"/>
    <col min="8" max="8" width="12.6640625" style="19" bestFit="1" customWidth="1"/>
    <col min="9" max="9" width="55.83203125" style="19" bestFit="1" customWidth="1"/>
    <col min="10" max="16384" width="12" style="19"/>
  </cols>
  <sheetData>
    <row r="1" spans="1:10" ht="56.1" customHeight="1">
      <c r="A1" s="60" t="s">
        <v>154</v>
      </c>
      <c r="B1" s="61"/>
      <c r="C1" s="61"/>
      <c r="D1" s="61"/>
      <c r="E1" s="61"/>
      <c r="F1" s="61"/>
      <c r="G1" s="62"/>
    </row>
    <row r="2" spans="1:10">
      <c r="A2" s="20"/>
      <c r="B2" s="63" t="s">
        <v>0</v>
      </c>
      <c r="C2" s="63"/>
      <c r="D2" s="63"/>
      <c r="E2" s="63"/>
      <c r="F2" s="63"/>
      <c r="G2" s="20"/>
    </row>
    <row r="3" spans="1:10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10">
      <c r="A4" s="23" t="s">
        <v>88</v>
      </c>
      <c r="B4" s="24"/>
      <c r="C4" s="24"/>
      <c r="D4" s="24"/>
      <c r="E4" s="24"/>
      <c r="F4" s="24"/>
      <c r="G4" s="24"/>
    </row>
    <row r="5" spans="1:10">
      <c r="A5" s="25" t="s">
        <v>89</v>
      </c>
      <c r="B5" s="13">
        <f>SUM(B6:B20)</f>
        <v>26175000</v>
      </c>
      <c r="C5" s="13">
        <f>SUM(C6:C19)</f>
        <v>6.5483618527650833E-11</v>
      </c>
      <c r="D5" s="13">
        <f t="shared" ref="D5:G5" si="0">SUM(D6:D20)</f>
        <v>26175000</v>
      </c>
      <c r="E5" s="13">
        <f t="shared" si="0"/>
        <v>15772.800000000001</v>
      </c>
      <c r="F5" s="13">
        <f t="shared" si="0"/>
        <v>5135480.6300000008</v>
      </c>
      <c r="G5" s="13">
        <f t="shared" si="0"/>
        <v>21023746.570000004</v>
      </c>
      <c r="H5" s="43">
        <f>SUM(E5:G5)</f>
        <v>26175000.000000004</v>
      </c>
    </row>
    <row r="6" spans="1:10" ht="15">
      <c r="A6" s="52" t="s">
        <v>140</v>
      </c>
      <c r="B6" s="52">
        <v>9009444.0500000007</v>
      </c>
      <c r="C6" s="51">
        <v>-707109.3</v>
      </c>
      <c r="D6" s="16">
        <f>+B6+C6</f>
        <v>8302334.7500000009</v>
      </c>
      <c r="E6" s="53">
        <v>14606.02</v>
      </c>
      <c r="F6" s="54">
        <v>1811173.79</v>
      </c>
      <c r="G6" s="16">
        <f>D6-F6-E6</f>
        <v>6476554.9400000013</v>
      </c>
      <c r="H6" s="51"/>
      <c r="I6" s="52"/>
      <c r="J6" s="52"/>
    </row>
    <row r="7" spans="1:10" ht="15">
      <c r="A7" s="52" t="s">
        <v>141</v>
      </c>
      <c r="B7" s="52">
        <f>2206756.32-48500</f>
        <v>2158256.3199999998</v>
      </c>
      <c r="C7" s="51">
        <v>23565.899999999994</v>
      </c>
      <c r="D7" s="16">
        <f t="shared" ref="D7:D21" si="1">+B7+C7</f>
        <v>2181822.2199999997</v>
      </c>
      <c r="E7" s="53">
        <v>206.78</v>
      </c>
      <c r="F7" s="54">
        <v>356591.1</v>
      </c>
      <c r="G7" s="16">
        <f t="shared" ref="G7:G21" si="2">D7-F7-E7</f>
        <v>1825024.3399999996</v>
      </c>
      <c r="H7" s="51"/>
      <c r="I7" s="52"/>
      <c r="J7" s="52"/>
    </row>
    <row r="8" spans="1:10" ht="15">
      <c r="A8" s="52" t="s">
        <v>142</v>
      </c>
      <c r="B8" s="52">
        <f>917208.83-175000</f>
        <v>742208.83</v>
      </c>
      <c r="C8" s="51">
        <v>0</v>
      </c>
      <c r="D8" s="16">
        <f t="shared" si="1"/>
        <v>742208.83</v>
      </c>
      <c r="E8" s="53"/>
      <c r="F8" s="54">
        <f>174282.09-20000+1814</f>
        <v>156096.09</v>
      </c>
      <c r="G8" s="16">
        <f t="shared" si="2"/>
        <v>586112.74</v>
      </c>
      <c r="H8" s="51"/>
      <c r="I8" s="52"/>
      <c r="J8" s="52"/>
    </row>
    <row r="9" spans="1:10" ht="15">
      <c r="A9" s="52" t="s">
        <v>143</v>
      </c>
      <c r="B9" s="52">
        <f>2447164.48-1000000</f>
        <v>1447164.48</v>
      </c>
      <c r="C9" s="51">
        <v>-406968.61</v>
      </c>
      <c r="D9" s="16">
        <f t="shared" si="1"/>
        <v>1040195.87</v>
      </c>
      <c r="E9" s="53"/>
      <c r="F9" s="54">
        <f>455042.39-191949.12+7656.58</f>
        <v>270749.85000000003</v>
      </c>
      <c r="G9" s="16">
        <f t="shared" si="2"/>
        <v>769446.02</v>
      </c>
      <c r="H9" s="51"/>
      <c r="I9" s="52"/>
      <c r="J9" s="52"/>
    </row>
    <row r="10" spans="1:10" ht="15">
      <c r="A10" s="52" t="s">
        <v>144</v>
      </c>
      <c r="B10" s="52">
        <v>1161610.3999999999</v>
      </c>
      <c r="C10" s="51">
        <v>0</v>
      </c>
      <c r="D10" s="16">
        <f t="shared" si="1"/>
        <v>1161610.3999999999</v>
      </c>
      <c r="E10" s="53"/>
      <c r="F10" s="54">
        <f>184401.21+21823.04</f>
        <v>206224.25</v>
      </c>
      <c r="G10" s="16">
        <f t="shared" si="2"/>
        <v>955386.14999999991</v>
      </c>
      <c r="H10" s="51"/>
      <c r="I10" s="52"/>
      <c r="J10" s="52"/>
    </row>
    <row r="11" spans="1:10" ht="15">
      <c r="A11" s="52" t="s">
        <v>145</v>
      </c>
      <c r="B11" s="52">
        <v>1013974.7</v>
      </c>
      <c r="C11" s="51">
        <v>410885.58</v>
      </c>
      <c r="D11" s="16">
        <f t="shared" si="1"/>
        <v>1424860.28</v>
      </c>
      <c r="E11" s="53"/>
      <c r="F11" s="54">
        <f>121698.03+47853.02</f>
        <v>169551.05</v>
      </c>
      <c r="G11" s="16">
        <f t="shared" si="2"/>
        <v>1255309.23</v>
      </c>
      <c r="H11" s="51"/>
      <c r="I11" s="52"/>
      <c r="J11" s="52"/>
    </row>
    <row r="12" spans="1:10" ht="15">
      <c r="A12" s="52" t="s">
        <v>146</v>
      </c>
      <c r="B12" s="52">
        <v>419988.03</v>
      </c>
      <c r="C12" s="51">
        <v>-86790.23</v>
      </c>
      <c r="D12" s="16">
        <f t="shared" si="1"/>
        <v>333197.80000000005</v>
      </c>
      <c r="E12" s="53">
        <v>0</v>
      </c>
      <c r="F12" s="54">
        <v>72980.94</v>
      </c>
      <c r="G12" s="16">
        <f t="shared" si="2"/>
        <v>260216.86000000004</v>
      </c>
      <c r="H12" s="51"/>
      <c r="I12" s="52"/>
      <c r="J12" s="52"/>
    </row>
    <row r="13" spans="1:10" ht="15">
      <c r="A13" s="52" t="s">
        <v>147</v>
      </c>
      <c r="B13" s="52">
        <v>761673.6</v>
      </c>
      <c r="C13" s="51">
        <v>-30</v>
      </c>
      <c r="D13" s="16">
        <f t="shared" si="1"/>
        <v>761643.6</v>
      </c>
      <c r="E13" s="53">
        <v>960</v>
      </c>
      <c r="F13" s="54">
        <f>94648.25+38219.2-960</f>
        <v>131907.45000000001</v>
      </c>
      <c r="G13" s="16">
        <f t="shared" si="2"/>
        <v>628776.14999999991</v>
      </c>
      <c r="H13" s="51"/>
      <c r="I13" s="52"/>
      <c r="J13" s="52"/>
    </row>
    <row r="14" spans="1:10" ht="15">
      <c r="A14" s="52" t="s">
        <v>148</v>
      </c>
      <c r="B14" s="52">
        <v>2621729.89</v>
      </c>
      <c r="C14" s="51">
        <v>-129249.99000000005</v>
      </c>
      <c r="D14" s="16">
        <f t="shared" si="1"/>
        <v>2492479.9</v>
      </c>
      <c r="E14" s="53">
        <v>0</v>
      </c>
      <c r="F14" s="54">
        <v>709521.02</v>
      </c>
      <c r="G14" s="16">
        <f t="shared" si="2"/>
        <v>1782958.88</v>
      </c>
      <c r="H14" s="51"/>
      <c r="I14" s="52"/>
      <c r="J14" s="52"/>
    </row>
    <row r="15" spans="1:10" ht="15">
      <c r="A15" s="52" t="s">
        <v>149</v>
      </c>
      <c r="B15" s="52">
        <v>3779129.2</v>
      </c>
      <c r="C15" s="51">
        <v>889792.97</v>
      </c>
      <c r="D15" s="16">
        <f t="shared" si="1"/>
        <v>4668922.17</v>
      </c>
      <c r="E15" s="53"/>
      <c r="F15" s="54">
        <v>975187.96</v>
      </c>
      <c r="G15" s="16">
        <f t="shared" si="2"/>
        <v>3693734.21</v>
      </c>
      <c r="H15" s="51"/>
      <c r="I15" s="52"/>
      <c r="J15" s="52"/>
    </row>
    <row r="16" spans="1:10" ht="15">
      <c r="A16" s="52" t="s">
        <v>150</v>
      </c>
      <c r="B16" s="52">
        <f>431447.88-73600</f>
        <v>357847.88</v>
      </c>
      <c r="C16" s="51">
        <v>0</v>
      </c>
      <c r="D16" s="16">
        <f t="shared" si="1"/>
        <v>357847.88</v>
      </c>
      <c r="E16" s="53">
        <v>0</v>
      </c>
      <c r="F16" s="54">
        <v>78075.399999999994</v>
      </c>
      <c r="G16" s="16">
        <f t="shared" si="2"/>
        <v>279772.48</v>
      </c>
      <c r="H16" s="51"/>
      <c r="I16" s="52"/>
      <c r="J16" s="52"/>
    </row>
    <row r="17" spans="1:10" ht="15">
      <c r="A17" s="52" t="s">
        <v>151</v>
      </c>
      <c r="B17" s="52">
        <v>117211.23</v>
      </c>
      <c r="C17" s="51">
        <v>0</v>
      </c>
      <c r="D17" s="16">
        <f t="shared" si="1"/>
        <v>117211.23</v>
      </c>
      <c r="E17" s="53">
        <v>0</v>
      </c>
      <c r="F17" s="54">
        <v>0</v>
      </c>
      <c r="G17" s="16">
        <f t="shared" si="2"/>
        <v>117211.23</v>
      </c>
      <c r="H17" s="51"/>
      <c r="I17" s="52"/>
      <c r="J17" s="52"/>
    </row>
    <row r="18" spans="1:10" ht="15">
      <c r="A18" s="52" t="s">
        <v>152</v>
      </c>
      <c r="B18" s="52">
        <v>387737.91</v>
      </c>
      <c r="C18" s="51">
        <v>6403.68</v>
      </c>
      <c r="D18" s="16">
        <f t="shared" si="1"/>
        <v>394141.58999999997</v>
      </c>
      <c r="E18" s="53">
        <v>0</v>
      </c>
      <c r="F18" s="54">
        <v>70361.66</v>
      </c>
      <c r="G18" s="16">
        <f t="shared" si="2"/>
        <v>323779.92999999993</v>
      </c>
      <c r="H18" s="51"/>
      <c r="I18" s="52"/>
      <c r="J18" s="52"/>
    </row>
    <row r="19" spans="1:10" ht="15">
      <c r="A19" s="52" t="s">
        <v>153</v>
      </c>
      <c r="B19" s="52">
        <v>2197023.48</v>
      </c>
      <c r="C19" s="51">
        <v>-500</v>
      </c>
      <c r="D19" s="16">
        <f t="shared" si="1"/>
        <v>2196523.48</v>
      </c>
      <c r="E19" s="53"/>
      <c r="F19" s="54">
        <v>127060.07</v>
      </c>
      <c r="G19" s="16">
        <f t="shared" si="2"/>
        <v>2069463.41</v>
      </c>
      <c r="H19" s="51"/>
      <c r="I19" s="52"/>
      <c r="J19" s="52"/>
    </row>
    <row r="20" spans="1:10" ht="15">
      <c r="A20" s="44"/>
      <c r="B20" s="44"/>
      <c r="C20" s="45"/>
      <c r="D20" s="16"/>
      <c r="E20" s="46"/>
      <c r="F20" s="47"/>
      <c r="G20" s="16">
        <f t="shared" si="2"/>
        <v>0</v>
      </c>
      <c r="H20" s="43"/>
    </row>
    <row r="21" spans="1:10">
      <c r="A21" s="26"/>
      <c r="B21" s="16">
        <f>SUM(B6:B20)</f>
        <v>26175000</v>
      </c>
      <c r="C21" s="16">
        <f>SUM(C6:C19)</f>
        <v>6.5483618527650833E-11</v>
      </c>
      <c r="D21" s="16">
        <f t="shared" si="1"/>
        <v>26175000</v>
      </c>
      <c r="E21" s="16">
        <f>SUM(E6:E20)</f>
        <v>15772.800000000001</v>
      </c>
      <c r="F21" s="16">
        <f>SUM(F6:F20)</f>
        <v>5135480.6300000008</v>
      </c>
      <c r="G21" s="16">
        <f t="shared" si="2"/>
        <v>21023746.569999997</v>
      </c>
    </row>
    <row r="22" spans="1:10" ht="5.0999999999999996" customHeight="1">
      <c r="A22" s="26"/>
      <c r="B22" s="16"/>
      <c r="C22" s="16"/>
      <c r="D22" s="16"/>
      <c r="E22" s="16"/>
      <c r="F22" s="16"/>
      <c r="G22" s="16"/>
    </row>
    <row r="23" spans="1:10">
      <c r="A23" s="27" t="s">
        <v>90</v>
      </c>
      <c r="B23" s="16"/>
      <c r="C23" s="16"/>
      <c r="D23" s="16"/>
      <c r="E23" s="16"/>
      <c r="F23" s="16"/>
      <c r="G23" s="16"/>
    </row>
    <row r="24" spans="1:10">
      <c r="A24" s="27" t="s">
        <v>91</v>
      </c>
      <c r="B24" s="13">
        <f>SUM(B25:B32)</f>
        <v>1297100</v>
      </c>
      <c r="C24" s="13">
        <f t="shared" ref="C24:G24" si="3">SUM(C25:C32)</f>
        <v>0</v>
      </c>
      <c r="D24" s="13">
        <f t="shared" si="3"/>
        <v>1297100</v>
      </c>
      <c r="E24" s="13">
        <f t="shared" si="3"/>
        <v>0</v>
      </c>
      <c r="F24" s="13">
        <f t="shared" si="3"/>
        <v>211949.12</v>
      </c>
      <c r="G24" s="13">
        <f t="shared" si="3"/>
        <v>1085150.8799999999</v>
      </c>
      <c r="H24" s="43"/>
    </row>
    <row r="25" spans="1:10" ht="15">
      <c r="A25" s="54" t="s">
        <v>141</v>
      </c>
      <c r="B25" s="16">
        <v>48500</v>
      </c>
      <c r="C25" s="16">
        <v>0</v>
      </c>
      <c r="D25" s="16">
        <f t="shared" ref="D25:D29" si="4">+B25+C25</f>
        <v>48500</v>
      </c>
      <c r="E25" s="16"/>
      <c r="F25" s="16"/>
      <c r="G25" s="16">
        <f t="shared" ref="G25:G29" si="5">D25-F25-E25</f>
        <v>48500</v>
      </c>
    </row>
    <row r="26" spans="1:10" ht="15">
      <c r="A26" s="54" t="s">
        <v>142</v>
      </c>
      <c r="B26" s="16">
        <v>175000</v>
      </c>
      <c r="C26" s="16"/>
      <c r="D26" s="16">
        <f t="shared" si="4"/>
        <v>175000</v>
      </c>
      <c r="E26" s="16"/>
      <c r="F26" s="16">
        <v>20000</v>
      </c>
      <c r="G26" s="16">
        <f t="shared" si="5"/>
        <v>155000</v>
      </c>
    </row>
    <row r="27" spans="1:10" ht="15">
      <c r="A27" s="54" t="s">
        <v>143</v>
      </c>
      <c r="B27" s="16">
        <v>1000000</v>
      </c>
      <c r="C27" s="16">
        <v>0</v>
      </c>
      <c r="D27" s="16">
        <f t="shared" si="4"/>
        <v>1000000</v>
      </c>
      <c r="E27" s="16"/>
      <c r="F27" s="16">
        <v>191949.12</v>
      </c>
      <c r="G27" s="16">
        <f t="shared" si="5"/>
        <v>808050.88</v>
      </c>
    </row>
    <row r="28" spans="1:10" ht="15">
      <c r="A28" s="54" t="s">
        <v>144</v>
      </c>
      <c r="B28" s="16">
        <v>0</v>
      </c>
      <c r="C28" s="16">
        <v>0</v>
      </c>
      <c r="D28" s="16">
        <f t="shared" si="4"/>
        <v>0</v>
      </c>
      <c r="E28" s="16"/>
      <c r="F28" s="16"/>
      <c r="G28" s="16">
        <f t="shared" si="5"/>
        <v>0</v>
      </c>
    </row>
    <row r="29" spans="1:10" ht="15">
      <c r="A29" s="54" t="s">
        <v>150</v>
      </c>
      <c r="B29" s="16">
        <v>73600</v>
      </c>
      <c r="C29" s="16">
        <v>0</v>
      </c>
      <c r="D29" s="16">
        <f t="shared" si="4"/>
        <v>73600</v>
      </c>
      <c r="E29" s="16"/>
      <c r="F29" s="16"/>
      <c r="G29" s="16">
        <f t="shared" si="5"/>
        <v>73600</v>
      </c>
    </row>
    <row r="30" spans="1:10">
      <c r="A30" s="26"/>
      <c r="B30" s="16"/>
      <c r="C30" s="16"/>
      <c r="D30" s="16"/>
      <c r="E30" s="16"/>
      <c r="F30" s="16"/>
      <c r="G30" s="16">
        <f t="shared" ref="G30:G32" si="6">D30-E30</f>
        <v>0</v>
      </c>
    </row>
    <row r="31" spans="1:10">
      <c r="A31" s="26"/>
      <c r="B31" s="16"/>
      <c r="C31" s="16"/>
      <c r="D31" s="16"/>
      <c r="E31" s="16"/>
      <c r="F31" s="16"/>
      <c r="G31" s="16">
        <f t="shared" si="6"/>
        <v>0</v>
      </c>
    </row>
    <row r="32" spans="1:10">
      <c r="A32" s="26"/>
      <c r="B32" s="16"/>
      <c r="C32" s="16"/>
      <c r="D32" s="16"/>
      <c r="E32" s="16"/>
      <c r="F32" s="16"/>
      <c r="G32" s="16">
        <f t="shared" si="6"/>
        <v>0</v>
      </c>
    </row>
    <row r="33" spans="1:8" ht="5.0999999999999996" customHeight="1">
      <c r="A33" s="28"/>
      <c r="B33" s="16"/>
      <c r="C33" s="16"/>
      <c r="D33" s="16"/>
      <c r="E33" s="16"/>
      <c r="F33" s="16"/>
      <c r="G33" s="16"/>
    </row>
    <row r="34" spans="1:8">
      <c r="A34" s="25" t="s">
        <v>83</v>
      </c>
      <c r="B34" s="13">
        <f>B5+B24</f>
        <v>27472100</v>
      </c>
      <c r="C34" s="13">
        <f t="shared" ref="C34:G34" si="7">C5+C24</f>
        <v>6.5483618527650833E-11</v>
      </c>
      <c r="D34" s="13">
        <f t="shared" si="7"/>
        <v>27472100</v>
      </c>
      <c r="E34" s="13">
        <f t="shared" si="7"/>
        <v>15772.800000000001</v>
      </c>
      <c r="F34" s="13">
        <f t="shared" si="7"/>
        <v>5347429.7500000009</v>
      </c>
      <c r="G34" s="13">
        <f t="shared" si="7"/>
        <v>22108897.450000003</v>
      </c>
      <c r="H34" s="43"/>
    </row>
    <row r="35" spans="1:8" ht="5.0999999999999996" customHeight="1">
      <c r="A35" s="29"/>
      <c r="B35" s="18"/>
      <c r="C35" s="18"/>
      <c r="D35" s="18"/>
      <c r="E35" s="18"/>
      <c r="F35" s="18"/>
      <c r="G35" s="18"/>
    </row>
    <row r="37" spans="1:8">
      <c r="F37" s="43"/>
      <c r="G37" s="4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sqref="A1:G1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60" t="s">
        <v>156</v>
      </c>
      <c r="B1" s="64"/>
      <c r="C1" s="64"/>
      <c r="D1" s="64"/>
      <c r="E1" s="64"/>
      <c r="F1" s="64"/>
      <c r="G1" s="65"/>
    </row>
    <row r="2" spans="1:7" ht="12" customHeight="1">
      <c r="A2" s="30"/>
      <c r="B2" s="63" t="s">
        <v>0</v>
      </c>
      <c r="C2" s="63"/>
      <c r="D2" s="63"/>
      <c r="E2" s="63"/>
      <c r="F2" s="63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92</v>
      </c>
      <c r="B5" s="13">
        <f>B6+B16+B25+B36</f>
        <v>0</v>
      </c>
      <c r="C5" s="13">
        <f t="shared" ref="C5:G5" si="0">C6+C16+C25+C36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12" t="s">
        <v>93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94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95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96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97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98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99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100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101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102</v>
      </c>
      <c r="B16" s="13">
        <f>SUM(B17:B23)</f>
        <v>0</v>
      </c>
      <c r="C16" s="13">
        <f t="shared" ref="C16:F16" si="3">SUM(C17:C23)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2"/>
        <v>0</v>
      </c>
    </row>
    <row r="17" spans="1:7">
      <c r="A17" s="15" t="s">
        <v>103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104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105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106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15" t="s">
        <v>107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108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109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110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111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112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113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114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115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116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117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118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119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120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121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122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123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124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125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93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94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95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96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97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98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99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100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101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102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103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104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105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106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107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108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109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110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111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112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113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114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115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116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117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118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119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120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121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122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123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124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0</v>
      </c>
      <c r="C79" s="13">
        <f t="shared" ref="C79:G79" si="12">C5+C42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13">
        <f t="shared" si="12"/>
        <v>0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60" t="s">
        <v>155</v>
      </c>
      <c r="B1" s="64"/>
      <c r="C1" s="64"/>
      <c r="D1" s="64"/>
      <c r="E1" s="64"/>
      <c r="F1" s="64"/>
      <c r="G1" s="65"/>
    </row>
    <row r="2" spans="1:7">
      <c r="A2" s="30"/>
      <c r="B2" s="63" t="s">
        <v>0</v>
      </c>
      <c r="C2" s="63"/>
      <c r="D2" s="63"/>
      <c r="E2" s="63"/>
      <c r="F2" s="63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126</v>
      </c>
      <c r="F3" s="22" t="s">
        <v>86</v>
      </c>
      <c r="G3" s="37" t="s">
        <v>7</v>
      </c>
    </row>
    <row r="4" spans="1:7">
      <c r="A4" s="38" t="s">
        <v>127</v>
      </c>
      <c r="B4" s="39">
        <f>B5+B6+B7+B10+B11+B14</f>
        <v>12406000.73</v>
      </c>
      <c r="C4" s="39">
        <f t="shared" ref="C4:G4" si="0">C5+C6+C7+C10+C11+C14</f>
        <v>585106.1</v>
      </c>
      <c r="D4" s="39">
        <f t="shared" si="0"/>
        <v>12991106.83</v>
      </c>
      <c r="E4" s="39">
        <f t="shared" si="0"/>
        <v>0</v>
      </c>
      <c r="F4" s="39">
        <f t="shared" si="0"/>
        <v>2794034.5100000002</v>
      </c>
      <c r="G4" s="39">
        <f t="shared" si="0"/>
        <v>10197072.32</v>
      </c>
    </row>
    <row r="5" spans="1:7">
      <c r="A5" s="40" t="s">
        <v>128</v>
      </c>
      <c r="B5" s="13">
        <f>+F6a!B6+F6a!B7</f>
        <v>12406000.73</v>
      </c>
      <c r="C5" s="13">
        <f>+F6a!C6+F6a!C7</f>
        <v>585106.1</v>
      </c>
      <c r="D5" s="13">
        <f>+B5+C5</f>
        <v>12991106.83</v>
      </c>
      <c r="E5" s="13"/>
      <c r="F5" s="13">
        <f>+F6a!F6+F6a!F7</f>
        <v>2794034.5100000002</v>
      </c>
      <c r="G5" s="13">
        <f>D5-E5-F5</f>
        <v>10197072.32</v>
      </c>
    </row>
    <row r="6" spans="1:7">
      <c r="A6" s="40" t="s">
        <v>129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130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131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132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133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134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135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136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137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138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128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129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130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131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132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133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134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135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136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137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139</v>
      </c>
      <c r="B27" s="13">
        <f>B4+B16</f>
        <v>12406000.73</v>
      </c>
      <c r="C27" s="13">
        <f t="shared" ref="C27:G27" si="8">C4+C16</f>
        <v>585106.1</v>
      </c>
      <c r="D27" s="13">
        <f t="shared" si="8"/>
        <v>12991106.83</v>
      </c>
      <c r="E27" s="13">
        <f t="shared" si="8"/>
        <v>0</v>
      </c>
      <c r="F27" s="13">
        <f t="shared" si="8"/>
        <v>2794034.5100000002</v>
      </c>
      <c r="G27" s="13">
        <f t="shared" si="8"/>
        <v>10197072.32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F6a</vt:lpstr>
      <vt:lpstr>F6b</vt:lpstr>
      <vt:lpstr>F6c</vt:lpstr>
      <vt:lpstr>F6d</vt:lpstr>
      <vt:lpstr>'F6a'!Área_de_impresión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2017-02-17T15:05:03Z</cp:lastPrinted>
  <dcterms:created xsi:type="dcterms:W3CDTF">2017-01-11T21:38:06Z</dcterms:created>
  <dcterms:modified xsi:type="dcterms:W3CDTF">2017-04-28T16:46:23Z</dcterms:modified>
</cp:coreProperties>
</file>