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14385" yWindow="45" windowWidth="14430" windowHeight="1189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4" l="1"/>
  <c r="D24" i="9"/>
  <c r="C75" i="5" l="1"/>
  <c r="E37" i="5"/>
  <c r="D16" i="5"/>
  <c r="B35" i="5"/>
  <c r="D48" i="4" l="1"/>
  <c r="E9" i="1" l="1"/>
  <c r="C137" i="6" l="1"/>
  <c r="D137" i="6"/>
  <c r="E137" i="6"/>
  <c r="F137" i="6"/>
  <c r="B137" i="6"/>
  <c r="C62" i="6"/>
  <c r="D62" i="6"/>
  <c r="E62" i="6"/>
  <c r="S55" i="24" s="1"/>
  <c r="F62" i="6"/>
  <c r="B62" i="6"/>
  <c r="B8" i="10"/>
  <c r="C6" i="23"/>
  <c r="C7" i="23" s="1"/>
  <c r="B9" i="1"/>
  <c r="P4" i="15" s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U4" i="26" s="1"/>
  <c r="G12" i="8"/>
  <c r="G13" i="8"/>
  <c r="G14" i="8"/>
  <c r="G15" i="8"/>
  <c r="U8" i="26" s="1"/>
  <c r="G16" i="8"/>
  <c r="G17" i="8"/>
  <c r="G18" i="8"/>
  <c r="G10" i="8"/>
  <c r="G20" i="8"/>
  <c r="G21" i="8"/>
  <c r="G22" i="8"/>
  <c r="G23" i="8"/>
  <c r="G24" i="8"/>
  <c r="G25" i="8"/>
  <c r="G26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 s="1"/>
  <c r="P2" i="24" s="1"/>
  <c r="G152" i="6"/>
  <c r="G153" i="6"/>
  <c r="G154" i="6"/>
  <c r="G155" i="6"/>
  <c r="G156" i="6"/>
  <c r="G157" i="6"/>
  <c r="G151" i="6"/>
  <c r="G148" i="6"/>
  <c r="G149" i="6"/>
  <c r="G147" i="6"/>
  <c r="G139" i="6"/>
  <c r="G140" i="6"/>
  <c r="G141" i="6"/>
  <c r="G142" i="6"/>
  <c r="G143" i="6"/>
  <c r="G144" i="6"/>
  <c r="G145" i="6"/>
  <c r="G138" i="6"/>
  <c r="G135" i="6"/>
  <c r="G136" i="6"/>
  <c r="G134" i="6"/>
  <c r="G125" i="6"/>
  <c r="G126" i="6"/>
  <c r="G127" i="6"/>
  <c r="G128" i="6"/>
  <c r="U120" i="24" s="1"/>
  <c r="G129" i="6"/>
  <c r="G130" i="6"/>
  <c r="U122" i="24" s="1"/>
  <c r="G131" i="6"/>
  <c r="G132" i="6"/>
  <c r="U124" i="24" s="1"/>
  <c r="G124" i="6"/>
  <c r="G115" i="6"/>
  <c r="G116" i="6"/>
  <c r="G117" i="6"/>
  <c r="G118" i="6"/>
  <c r="G119" i="6"/>
  <c r="G120" i="6"/>
  <c r="G121" i="6"/>
  <c r="G122" i="6"/>
  <c r="G114" i="6"/>
  <c r="G105" i="6"/>
  <c r="G106" i="6"/>
  <c r="U98" i="24" s="1"/>
  <c r="G107" i="6"/>
  <c r="G108" i="6"/>
  <c r="G109" i="6"/>
  <c r="G110" i="6"/>
  <c r="U102" i="24" s="1"/>
  <c r="G111" i="6"/>
  <c r="G112" i="6"/>
  <c r="G104" i="6"/>
  <c r="G95" i="6"/>
  <c r="U87" i="24" s="1"/>
  <c r="G96" i="6"/>
  <c r="G97" i="6"/>
  <c r="G98" i="6"/>
  <c r="G99" i="6"/>
  <c r="U91" i="24" s="1"/>
  <c r="G100" i="6"/>
  <c r="G101" i="6"/>
  <c r="G102" i="6"/>
  <c r="G94" i="6"/>
  <c r="U86" i="24" s="1"/>
  <c r="G87" i="6"/>
  <c r="G88" i="6"/>
  <c r="G89" i="6"/>
  <c r="U81" i="24" s="1"/>
  <c r="G90" i="6"/>
  <c r="G85" i="6" s="1"/>
  <c r="U77" i="24" s="1"/>
  <c r="G91" i="6"/>
  <c r="G92" i="6"/>
  <c r="G86" i="6"/>
  <c r="U78" i="24" s="1"/>
  <c r="G77" i="6"/>
  <c r="U70" i="24" s="1"/>
  <c r="G78" i="6"/>
  <c r="G79" i="6"/>
  <c r="G80" i="6"/>
  <c r="U73" i="24" s="1"/>
  <c r="G81" i="6"/>
  <c r="U74" i="24" s="1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2" i="6" s="1"/>
  <c r="U55" i="24" s="1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28" i="6" s="1"/>
  <c r="U21" i="24" s="1"/>
  <c r="G32" i="6"/>
  <c r="G33" i="6"/>
  <c r="G34" i="6"/>
  <c r="G35" i="6"/>
  <c r="G36" i="6"/>
  <c r="G37" i="6"/>
  <c r="G29" i="6"/>
  <c r="G20" i="6"/>
  <c r="U13" i="24" s="1"/>
  <c r="G21" i="6"/>
  <c r="G22" i="6"/>
  <c r="G23" i="6"/>
  <c r="G24" i="6"/>
  <c r="U17" i="24" s="1"/>
  <c r="G25" i="6"/>
  <c r="G26" i="6"/>
  <c r="G27" i="6"/>
  <c r="G19" i="6"/>
  <c r="U12" i="24" s="1"/>
  <c r="G11" i="6"/>
  <c r="B7" i="13"/>
  <c r="G12" i="6"/>
  <c r="G13" i="6"/>
  <c r="G14" i="6"/>
  <c r="G15" i="6"/>
  <c r="G16" i="6"/>
  <c r="G17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33" i="5"/>
  <c r="G34" i="5"/>
  <c r="G36" i="5"/>
  <c r="G35" i="5" s="1"/>
  <c r="U29" i="20" s="1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 s="1"/>
  <c r="R22" i="31" s="1"/>
  <c r="E7" i="13"/>
  <c r="S2" i="31" s="1"/>
  <c r="F7" i="13"/>
  <c r="F29" i="13" s="1"/>
  <c r="T22" i="31" s="1"/>
  <c r="G7" i="13"/>
  <c r="G29" i="13" s="1"/>
  <c r="U22" i="31" s="1"/>
  <c r="Q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 s="1"/>
  <c r="Q23" i="30" s="1"/>
  <c r="D7" i="12"/>
  <c r="D31" i="12" s="1"/>
  <c r="R23" i="30" s="1"/>
  <c r="E7" i="12"/>
  <c r="E31" i="12" s="1"/>
  <c r="S23" i="30" s="1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R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D30" i="11"/>
  <c r="R22" i="29" s="1"/>
  <c r="E8" i="11"/>
  <c r="E30" i="11" s="1"/>
  <c r="S22" i="29" s="1"/>
  <c r="F8" i="11"/>
  <c r="F30" i="11" s="1"/>
  <c r="T22" i="29" s="1"/>
  <c r="G8" i="11"/>
  <c r="G30" i="11" s="1"/>
  <c r="U22" i="29" s="1"/>
  <c r="Q2" i="29"/>
  <c r="R2" i="29"/>
  <c r="S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C32" i="10"/>
  <c r="Q23" i="28" s="1"/>
  <c r="F32" i="10"/>
  <c r="T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B32" i="10" s="1"/>
  <c r="P23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C9" i="9"/>
  <c r="D12" i="9"/>
  <c r="D16" i="9"/>
  <c r="R9" i="27" s="1"/>
  <c r="D9" i="9"/>
  <c r="R2" i="27" s="1"/>
  <c r="E12" i="9"/>
  <c r="S5" i="27" s="1"/>
  <c r="E16" i="9"/>
  <c r="E9" i="9"/>
  <c r="F12" i="9"/>
  <c r="F16" i="9"/>
  <c r="F9" i="9"/>
  <c r="T2" i="27" s="1"/>
  <c r="G12" i="9"/>
  <c r="U5" i="27" s="1"/>
  <c r="G16" i="9"/>
  <c r="Q3" i="27"/>
  <c r="R3" i="27"/>
  <c r="S3" i="27"/>
  <c r="T3" i="27"/>
  <c r="U3" i="27"/>
  <c r="Q4" i="27"/>
  <c r="R4" i="27"/>
  <c r="S4" i="27"/>
  <c r="T4" i="27"/>
  <c r="U4" i="27"/>
  <c r="R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Q20" i="27" s="1"/>
  <c r="C21" i="9"/>
  <c r="Q13" i="27" s="1"/>
  <c r="D28" i="9"/>
  <c r="R20" i="27" s="1"/>
  <c r="D21" i="9"/>
  <c r="R13" i="27" s="1"/>
  <c r="E24" i="9"/>
  <c r="E28" i="9"/>
  <c r="S20" i="27" s="1"/>
  <c r="E21" i="9"/>
  <c r="S13" i="27" s="1"/>
  <c r="F24" i="9"/>
  <c r="F28" i="9"/>
  <c r="T20" i="27" s="1"/>
  <c r="F21" i="9"/>
  <c r="T13" i="27" s="1"/>
  <c r="G24" i="9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P20" i="27" s="1"/>
  <c r="P14" i="27"/>
  <c r="P15" i="27"/>
  <c r="P17" i="27"/>
  <c r="P18" i="27"/>
  <c r="P19" i="27"/>
  <c r="P21" i="27"/>
  <c r="P22" i="27"/>
  <c r="P23" i="27"/>
  <c r="B9" i="9"/>
  <c r="A5" i="27"/>
  <c r="A4" i="27"/>
  <c r="A3" i="27"/>
  <c r="A2" i="27"/>
  <c r="C10" i="8"/>
  <c r="C19" i="8"/>
  <c r="Q12" i="26" s="1"/>
  <c r="C27" i="8"/>
  <c r="C37" i="8"/>
  <c r="C9" i="8"/>
  <c r="Q2" i="26" s="1"/>
  <c r="D10" i="8"/>
  <c r="R3" i="26" s="1"/>
  <c r="D19" i="8"/>
  <c r="R12" i="26" s="1"/>
  <c r="D27" i="8"/>
  <c r="D37" i="8"/>
  <c r="E10" i="8"/>
  <c r="E19" i="8"/>
  <c r="E27" i="8"/>
  <c r="E37" i="8"/>
  <c r="S30" i="26" s="1"/>
  <c r="F10" i="8"/>
  <c r="F19" i="8"/>
  <c r="T12" i="26" s="1"/>
  <c r="F27" i="8"/>
  <c r="F37" i="8"/>
  <c r="T30" i="26" s="1"/>
  <c r="Q3" i="26"/>
  <c r="S3" i="26"/>
  <c r="U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 s="1"/>
  <c r="D44" i="8"/>
  <c r="R36" i="26" s="1"/>
  <c r="D53" i="8"/>
  <c r="D61" i="8"/>
  <c r="D71" i="8"/>
  <c r="D43" i="8" s="1"/>
  <c r="R35" i="26" s="1"/>
  <c r="E44" i="8"/>
  <c r="E53" i="8"/>
  <c r="E61" i="8"/>
  <c r="E43" i="8" s="1"/>
  <c r="S35" i="26" s="1"/>
  <c r="E71" i="8"/>
  <c r="S63" i="26" s="1"/>
  <c r="F44" i="8"/>
  <c r="F53" i="8"/>
  <c r="T45" i="26" s="1"/>
  <c r="F61" i="8"/>
  <c r="T53" i="26" s="1"/>
  <c r="F71" i="8"/>
  <c r="T63" i="26" s="1"/>
  <c r="G44" i="8"/>
  <c r="G53" i="8"/>
  <c r="U45" i="26" s="1"/>
  <c r="G61" i="8"/>
  <c r="Q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P45" i="26" s="1"/>
  <c r="B61" i="8"/>
  <c r="P53" i="26" s="1"/>
  <c r="B71" i="8"/>
  <c r="B10" i="8"/>
  <c r="B19" i="8"/>
  <c r="P12" i="26" s="1"/>
  <c r="B27" i="8"/>
  <c r="P20" i="26" s="1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F9" i="7"/>
  <c r="F19" i="7"/>
  <c r="T3" i="25" s="1"/>
  <c r="E9" i="7"/>
  <c r="E19" i="7"/>
  <c r="S3" i="25" s="1"/>
  <c r="D9" i="7"/>
  <c r="D19" i="7"/>
  <c r="R3" i="25" s="1"/>
  <c r="C9" i="7"/>
  <c r="C19" i="7"/>
  <c r="Q3" i="25" s="1"/>
  <c r="B9" i="7"/>
  <c r="B19" i="7"/>
  <c r="P3" i="25"/>
  <c r="A3" i="25"/>
  <c r="A4" i="25"/>
  <c r="A2" i="25"/>
  <c r="A87" i="24"/>
  <c r="C85" i="6"/>
  <c r="Q77" i="24" s="1"/>
  <c r="C93" i="6"/>
  <c r="C103" i="6"/>
  <c r="C113" i="6"/>
  <c r="Q105" i="24" s="1"/>
  <c r="C123" i="6"/>
  <c r="C133" i="6"/>
  <c r="C146" i="6"/>
  <c r="C150" i="6"/>
  <c r="D85" i="6"/>
  <c r="D93" i="6"/>
  <c r="D103" i="6"/>
  <c r="D113" i="6"/>
  <c r="D123" i="6"/>
  <c r="D133" i="6"/>
  <c r="D146" i="6"/>
  <c r="D150" i="6"/>
  <c r="E85" i="6"/>
  <c r="S77" i="24" s="1"/>
  <c r="E93" i="6"/>
  <c r="E103" i="6"/>
  <c r="E113" i="6"/>
  <c r="E123" i="6"/>
  <c r="E133" i="6"/>
  <c r="E146" i="6"/>
  <c r="E150" i="6"/>
  <c r="F85" i="6"/>
  <c r="T77" i="24" s="1"/>
  <c r="F93" i="6"/>
  <c r="F103" i="6"/>
  <c r="T95" i="24" s="1"/>
  <c r="F113" i="6"/>
  <c r="F123" i="6"/>
  <c r="F133" i="6"/>
  <c r="F146" i="6"/>
  <c r="F150" i="6"/>
  <c r="G93" i="6"/>
  <c r="U85" i="24" s="1"/>
  <c r="G113" i="6"/>
  <c r="U105" i="24" s="1"/>
  <c r="G123" i="6"/>
  <c r="U115" i="24" s="1"/>
  <c r="G133" i="6"/>
  <c r="G146" i="6"/>
  <c r="U138" i="24" s="1"/>
  <c r="G150" i="6"/>
  <c r="R77" i="24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C38" i="6"/>
  <c r="C48" i="6"/>
  <c r="C58" i="6"/>
  <c r="C71" i="6"/>
  <c r="C75" i="6"/>
  <c r="C9" i="6"/>
  <c r="R3" i="24"/>
  <c r="D18" i="6"/>
  <c r="D28" i="6"/>
  <c r="D38" i="6"/>
  <c r="D48" i="6"/>
  <c r="D58" i="6"/>
  <c r="D71" i="6"/>
  <c r="D75" i="6"/>
  <c r="R68" i="24" s="1"/>
  <c r="E10" i="6"/>
  <c r="E18" i="6"/>
  <c r="E28" i="6"/>
  <c r="E38" i="6"/>
  <c r="E48" i="6"/>
  <c r="E58" i="6"/>
  <c r="S51" i="24" s="1"/>
  <c r="E71" i="6"/>
  <c r="E75" i="6"/>
  <c r="F10" i="6"/>
  <c r="F18" i="6"/>
  <c r="F28" i="6"/>
  <c r="F38" i="6"/>
  <c r="F48" i="6"/>
  <c r="F58" i="6"/>
  <c r="F71" i="6"/>
  <c r="F75" i="6"/>
  <c r="G38" i="6"/>
  <c r="G48" i="6"/>
  <c r="G58" i="6"/>
  <c r="U51" i="24" s="1"/>
  <c r="G71" i="6"/>
  <c r="B85" i="6"/>
  <c r="P77" i="24" s="1"/>
  <c r="B93" i="6"/>
  <c r="B103" i="6"/>
  <c r="B113" i="6"/>
  <c r="P105" i="24" s="1"/>
  <c r="B123" i="6"/>
  <c r="P115" i="24" s="1"/>
  <c r="B133" i="6"/>
  <c r="P125" i="24" s="1"/>
  <c r="B146" i="6"/>
  <c r="P138" i="24" s="1"/>
  <c r="B150" i="6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G46" i="5"/>
  <c r="U38" i="20" s="1"/>
  <c r="G47" i="5"/>
  <c r="G48" i="5"/>
  <c r="G49" i="5"/>
  <c r="U41" i="20" s="1"/>
  <c r="G50" i="5"/>
  <c r="U42" i="20" s="1"/>
  <c r="G51" i="5"/>
  <c r="U43" i="20" s="1"/>
  <c r="G52" i="5"/>
  <c r="G53" i="5"/>
  <c r="U39" i="20"/>
  <c r="U40" i="20"/>
  <c r="U44" i="20"/>
  <c r="U45" i="20"/>
  <c r="G55" i="5"/>
  <c r="G56" i="5"/>
  <c r="G57" i="5"/>
  <c r="U49" i="20" s="1"/>
  <c r="G58" i="5"/>
  <c r="G54" i="5" s="1"/>
  <c r="U46" i="20" s="1"/>
  <c r="U47" i="20"/>
  <c r="U48" i="20"/>
  <c r="U50" i="20"/>
  <c r="G60" i="5"/>
  <c r="U52" i="20" s="1"/>
  <c r="G61" i="5"/>
  <c r="G59" i="5" s="1"/>
  <c r="U51" i="20" s="1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R10" i="20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S31" i="20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P37" i="20" s="1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P10" i="20" s="1"/>
  <c r="B28" i="5"/>
  <c r="B37" i="5"/>
  <c r="P31" i="20" s="1"/>
  <c r="B41" i="5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/>
  <c r="H23" i="23"/>
  <c r="F6" i="11" s="1"/>
  <c r="G23" i="23"/>
  <c r="E6" i="11"/>
  <c r="F23" i="23"/>
  <c r="D6" i="11" s="1"/>
  <c r="E23" i="23"/>
  <c r="C6" i="11"/>
  <c r="G6" i="10"/>
  <c r="E6" i="10"/>
  <c r="D6" i="10"/>
  <c r="C6" i="10"/>
  <c r="G5" i="13"/>
  <c r="G5" i="12"/>
  <c r="C11" i="23"/>
  <c r="A2" i="12" s="1"/>
  <c r="A2" i="13"/>
  <c r="A2" i="11"/>
  <c r="A2" i="10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 s="1"/>
  <c r="W5" i="17" s="1"/>
  <c r="H14" i="3"/>
  <c r="V4" i="17" s="1"/>
  <c r="G14" i="3"/>
  <c r="G20" i="3" s="1"/>
  <c r="U5" i="17" s="1"/>
  <c r="E14" i="3"/>
  <c r="K9" i="3"/>
  <c r="K10" i="3"/>
  <c r="K11" i="3"/>
  <c r="K12" i="3"/>
  <c r="K8" i="3"/>
  <c r="K20" i="3" s="1"/>
  <c r="Y5" i="17" s="1"/>
  <c r="J8" i="3"/>
  <c r="H8" i="3"/>
  <c r="H20" i="3" s="1"/>
  <c r="V5" i="17" s="1"/>
  <c r="G8" i="3"/>
  <c r="E8" i="3"/>
  <c r="F41" i="2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D22" i="2"/>
  <c r="R14" i="16" s="1"/>
  <c r="C22" i="2"/>
  <c r="B22" i="2"/>
  <c r="P14" i="16" s="1"/>
  <c r="E20" i="3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P33" i="18" s="1"/>
  <c r="B63" i="4"/>
  <c r="B55" i="4"/>
  <c r="B53" i="4"/>
  <c r="B49" i="4"/>
  <c r="P27" i="18" s="1"/>
  <c r="B48" i="4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30" i="18"/>
  <c r="P28" i="18"/>
  <c r="P29" i="18"/>
  <c r="P26" i="18"/>
  <c r="P20" i="18"/>
  <c r="P21" i="18"/>
  <c r="P22" i="18"/>
  <c r="P23" i="18"/>
  <c r="P24" i="18"/>
  <c r="P19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F31" i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19" i="1"/>
  <c r="P67" i="15" s="1"/>
  <c r="E23" i="1"/>
  <c r="E27" i="1"/>
  <c r="E31" i="1"/>
  <c r="E38" i="1"/>
  <c r="E42" i="1"/>
  <c r="E57" i="1"/>
  <c r="P103" i="15" s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F70" i="5"/>
  <c r="C70" i="5"/>
  <c r="Y4" i="17"/>
  <c r="C70" i="4"/>
  <c r="D70" i="4"/>
  <c r="C68" i="4"/>
  <c r="D68" i="4"/>
  <c r="R36" i="18" s="1"/>
  <c r="C64" i="4"/>
  <c r="D64" i="4"/>
  <c r="R33" i="18" s="1"/>
  <c r="C63" i="4"/>
  <c r="D63" i="4"/>
  <c r="C48" i="4"/>
  <c r="Q26" i="18" s="1"/>
  <c r="C55" i="4"/>
  <c r="D55" i="4"/>
  <c r="D57" i="4" s="1"/>
  <c r="D59" i="4" s="1"/>
  <c r="C53" i="4"/>
  <c r="D53" i="4"/>
  <c r="C49" i="4"/>
  <c r="Q27" i="18" s="1"/>
  <c r="D49" i="4"/>
  <c r="R27" i="18" s="1"/>
  <c r="C29" i="4"/>
  <c r="D29" i="4"/>
  <c r="R15" i="18" s="1"/>
  <c r="C40" i="4"/>
  <c r="Q22" i="18" s="1"/>
  <c r="D40" i="4"/>
  <c r="D44" i="4" s="1"/>
  <c r="D11" i="4" s="1"/>
  <c r="C37" i="4"/>
  <c r="Q19" i="18" s="1"/>
  <c r="D37" i="4"/>
  <c r="C17" i="4"/>
  <c r="Q9" i="18" s="1"/>
  <c r="C13" i="4"/>
  <c r="Q6" i="18" s="1"/>
  <c r="D13" i="4"/>
  <c r="R6" i="18" s="1"/>
  <c r="W4" i="17"/>
  <c r="W3" i="17"/>
  <c r="X3" i="17"/>
  <c r="S4" i="17"/>
  <c r="Q17" i="16"/>
  <c r="T17" i="16"/>
  <c r="S15" i="16"/>
  <c r="Q14" i="16"/>
  <c r="C13" i="2"/>
  <c r="Q8" i="16" s="1"/>
  <c r="D13" i="2"/>
  <c r="R8" i="16" s="1"/>
  <c r="E13" i="2"/>
  <c r="S8" i="16" s="1"/>
  <c r="F13" i="2"/>
  <c r="T8" i="16" s="1"/>
  <c r="G13" i="2"/>
  <c r="H13" i="2"/>
  <c r="V8" i="16" s="1"/>
  <c r="B13" i="2"/>
  <c r="P8" i="16"/>
  <c r="C9" i="2"/>
  <c r="C8" i="2" s="1"/>
  <c r="D9" i="2"/>
  <c r="D8" i="2" s="1"/>
  <c r="R4" i="16"/>
  <c r="E9" i="2"/>
  <c r="S4" i="16" s="1"/>
  <c r="F9" i="2"/>
  <c r="T4" i="16" s="1"/>
  <c r="G9" i="2"/>
  <c r="U4" i="16" s="1"/>
  <c r="H9" i="2"/>
  <c r="V4" i="16" s="1"/>
  <c r="B9" i="2"/>
  <c r="P4" i="16" s="1"/>
  <c r="R22" i="18"/>
  <c r="Q30" i="18"/>
  <c r="R32" i="18"/>
  <c r="Q32" i="18"/>
  <c r="Q36" i="18"/>
  <c r="R19" i="18"/>
  <c r="R26" i="18"/>
  <c r="Q31" i="18"/>
  <c r="R37" i="18"/>
  <c r="R30" i="18"/>
  <c r="Q33" i="18"/>
  <c r="Q37" i="18"/>
  <c r="S5" i="17"/>
  <c r="S3" i="17"/>
  <c r="U8" i="16"/>
  <c r="S14" i="16"/>
  <c r="T14" i="16"/>
  <c r="C72" i="4"/>
  <c r="C74" i="4" s="1"/>
  <c r="Q39" i="18" s="1"/>
  <c r="Q67" i="15"/>
  <c r="U3" i="17"/>
  <c r="P2" i="25"/>
  <c r="Q2" i="25"/>
  <c r="E29" i="7" l="1"/>
  <c r="S4" i="25" s="1"/>
  <c r="U4" i="17"/>
  <c r="T2" i="31"/>
  <c r="U2" i="31"/>
  <c r="E29" i="13"/>
  <c r="S22" i="31" s="1"/>
  <c r="R2" i="31"/>
  <c r="S2" i="30"/>
  <c r="U2" i="30"/>
  <c r="T2" i="30"/>
  <c r="Q2" i="30"/>
  <c r="P2" i="30"/>
  <c r="U2" i="29"/>
  <c r="P2" i="29"/>
  <c r="P21" i="28"/>
  <c r="E32" i="10"/>
  <c r="S23" i="28" s="1"/>
  <c r="D32" i="10"/>
  <c r="R23" i="28" s="1"/>
  <c r="F33" i="9"/>
  <c r="T24" i="27" s="1"/>
  <c r="E33" i="9"/>
  <c r="S24" i="27" s="1"/>
  <c r="G9" i="9"/>
  <c r="G33" i="9" s="1"/>
  <c r="U24" i="27" s="1"/>
  <c r="D33" i="9"/>
  <c r="R24" i="27" s="1"/>
  <c r="U9" i="27"/>
  <c r="C33" i="9"/>
  <c r="Q24" i="27" s="1"/>
  <c r="B21" i="9"/>
  <c r="P13" i="27" s="1"/>
  <c r="P2" i="27"/>
  <c r="S2" i="27"/>
  <c r="Q2" i="27"/>
  <c r="B43" i="8"/>
  <c r="P35" i="26" s="1"/>
  <c r="G43" i="8"/>
  <c r="U35" i="26" s="1"/>
  <c r="F43" i="8"/>
  <c r="T35" i="26" s="1"/>
  <c r="E9" i="8"/>
  <c r="G19" i="8"/>
  <c r="U12" i="26" s="1"/>
  <c r="B9" i="8"/>
  <c r="F9" i="8"/>
  <c r="F77" i="8" s="1"/>
  <c r="T68" i="26" s="1"/>
  <c r="C77" i="8"/>
  <c r="Q68" i="26" s="1"/>
  <c r="S2" i="26"/>
  <c r="E77" i="8"/>
  <c r="S68" i="26" s="1"/>
  <c r="S12" i="26"/>
  <c r="T3" i="26"/>
  <c r="D9" i="8"/>
  <c r="F29" i="7"/>
  <c r="T4" i="25" s="1"/>
  <c r="G19" i="7"/>
  <c r="U3" i="25" s="1"/>
  <c r="D29" i="7"/>
  <c r="R4" i="25" s="1"/>
  <c r="C29" i="7"/>
  <c r="Q4" i="25" s="1"/>
  <c r="B29" i="7"/>
  <c r="P4" i="25" s="1"/>
  <c r="G103" i="6"/>
  <c r="U95" i="24" s="1"/>
  <c r="F84" i="6"/>
  <c r="T76" i="24" s="1"/>
  <c r="E84" i="6"/>
  <c r="S76" i="24" s="1"/>
  <c r="T85" i="24"/>
  <c r="S85" i="24"/>
  <c r="U82" i="24"/>
  <c r="E9" i="6"/>
  <c r="F9" i="6"/>
  <c r="S21" i="24"/>
  <c r="G18" i="6"/>
  <c r="U11" i="24" s="1"/>
  <c r="G137" i="6"/>
  <c r="U129" i="24" s="1"/>
  <c r="D84" i="6"/>
  <c r="R76" i="24" s="1"/>
  <c r="G10" i="6"/>
  <c r="U3" i="24" s="1"/>
  <c r="C84" i="6"/>
  <c r="Q76" i="24" s="1"/>
  <c r="R105" i="24"/>
  <c r="G75" i="6"/>
  <c r="U68" i="24" s="1"/>
  <c r="D9" i="6"/>
  <c r="R2" i="24" s="1"/>
  <c r="Q2" i="24"/>
  <c r="B84" i="6"/>
  <c r="P76" i="24" s="1"/>
  <c r="P95" i="24"/>
  <c r="E65" i="5"/>
  <c r="S56" i="20" s="1"/>
  <c r="D65" i="5"/>
  <c r="G75" i="5"/>
  <c r="U62" i="20" s="1"/>
  <c r="U58" i="20"/>
  <c r="U53" i="20"/>
  <c r="G45" i="5"/>
  <c r="U37" i="20" s="1"/>
  <c r="B65" i="5"/>
  <c r="P56" i="20" s="1"/>
  <c r="G37" i="5"/>
  <c r="U31" i="20" s="1"/>
  <c r="G28" i="5"/>
  <c r="U22" i="20" s="1"/>
  <c r="G16" i="5"/>
  <c r="U10" i="20" s="1"/>
  <c r="R31" i="18"/>
  <c r="C57" i="4"/>
  <c r="C59" i="4" s="1"/>
  <c r="D72" i="4"/>
  <c r="Q38" i="18"/>
  <c r="B59" i="4"/>
  <c r="D8" i="4"/>
  <c r="R5" i="18"/>
  <c r="R25" i="18"/>
  <c r="C44" i="4"/>
  <c r="B44" i="4"/>
  <c r="B11" i="4" s="1"/>
  <c r="Q15" i="18"/>
  <c r="B72" i="4"/>
  <c r="P38" i="18" s="1"/>
  <c r="B74" i="4"/>
  <c r="P39" i="18" s="1"/>
  <c r="E8" i="2"/>
  <c r="S3" i="16" s="1"/>
  <c r="Q4" i="16"/>
  <c r="H8" i="2"/>
  <c r="F8" i="2"/>
  <c r="G8" i="2"/>
  <c r="E20" i="2"/>
  <c r="S13" i="16" s="1"/>
  <c r="D20" i="2"/>
  <c r="R13" i="16" s="1"/>
  <c r="R3" i="16"/>
  <c r="C20" i="2"/>
  <c r="Q13" i="16" s="1"/>
  <c r="Q3" i="16"/>
  <c r="B8" i="2"/>
  <c r="F79" i="1"/>
  <c r="Q119" i="15" s="1"/>
  <c r="E79" i="1"/>
  <c r="P119" i="15" s="1"/>
  <c r="F47" i="1"/>
  <c r="Q95" i="15" s="1"/>
  <c r="E47" i="1"/>
  <c r="E59" i="1" s="1"/>
  <c r="Q57" i="15"/>
  <c r="P57" i="15"/>
  <c r="B47" i="1"/>
  <c r="B62" i="1" s="1"/>
  <c r="P54" i="15" s="1"/>
  <c r="C47" i="1"/>
  <c r="B6" i="10"/>
  <c r="F6" i="10"/>
  <c r="A2" i="7"/>
  <c r="A2" i="2"/>
  <c r="A2" i="1"/>
  <c r="A2" i="6"/>
  <c r="A2" i="4"/>
  <c r="A2" i="5"/>
  <c r="A2" i="8"/>
  <c r="A2" i="3"/>
  <c r="A2" i="9"/>
  <c r="A2" i="14"/>
  <c r="V3" i="17"/>
  <c r="Y3" i="17"/>
  <c r="R2" i="25"/>
  <c r="T2" i="25"/>
  <c r="S2" i="25"/>
  <c r="G29" i="7" l="1"/>
  <c r="U4" i="25" s="1"/>
  <c r="U2" i="27"/>
  <c r="B33" i="9"/>
  <c r="P24" i="27" s="1"/>
  <c r="G9" i="8"/>
  <c r="U2" i="26" s="1"/>
  <c r="T2" i="26"/>
  <c r="B77" i="8"/>
  <c r="P68" i="26" s="1"/>
  <c r="P2" i="26"/>
  <c r="R2" i="26"/>
  <c r="D77" i="8"/>
  <c r="R68" i="26" s="1"/>
  <c r="E159" i="6"/>
  <c r="S150" i="24" s="1"/>
  <c r="F159" i="6"/>
  <c r="T150" i="24" s="1"/>
  <c r="T2" i="24"/>
  <c r="S2" i="24"/>
  <c r="G84" i="6"/>
  <c r="U76" i="24" s="1"/>
  <c r="G9" i="6"/>
  <c r="C159" i="6"/>
  <c r="Q150" i="24" s="1"/>
  <c r="D159" i="6"/>
  <c r="R150" i="24" s="1"/>
  <c r="B159" i="6"/>
  <c r="P150" i="24" s="1"/>
  <c r="E70" i="5"/>
  <c r="R56" i="20"/>
  <c r="D70" i="5"/>
  <c r="B70" i="5"/>
  <c r="G65" i="5"/>
  <c r="U56" i="20" s="1"/>
  <c r="G41" i="5"/>
  <c r="U34" i="20" s="1"/>
  <c r="D74" i="4"/>
  <c r="R39" i="18" s="1"/>
  <c r="R38" i="18"/>
  <c r="R2" i="18"/>
  <c r="D21" i="4"/>
  <c r="Q25" i="18"/>
  <c r="C11" i="4"/>
  <c r="P25" i="18"/>
  <c r="P5" i="18"/>
  <c r="B8" i="4"/>
  <c r="V3" i="16"/>
  <c r="H20" i="2"/>
  <c r="V13" i="16" s="1"/>
  <c r="T3" i="16"/>
  <c r="F20" i="2"/>
  <c r="T13" i="16" s="1"/>
  <c r="G20" i="2"/>
  <c r="U13" i="16" s="1"/>
  <c r="U3" i="16"/>
  <c r="B20" i="2"/>
  <c r="P13" i="16" s="1"/>
  <c r="P3" i="16"/>
  <c r="F59" i="1"/>
  <c r="F81" i="1" s="1"/>
  <c r="Q120" i="15" s="1"/>
  <c r="P95" i="15"/>
  <c r="E81" i="1"/>
  <c r="P120" i="15" s="1"/>
  <c r="P104" i="15"/>
  <c r="Q104" i="15"/>
  <c r="P42" i="15"/>
  <c r="Q42" i="15"/>
  <c r="C62" i="1"/>
  <c r="Q54" i="15" s="1"/>
  <c r="G77" i="8" l="1"/>
  <c r="U68" i="26" s="1"/>
  <c r="G159" i="6"/>
  <c r="U150" i="24" s="1"/>
  <c r="U2" i="24"/>
  <c r="G42" i="5"/>
  <c r="U35" i="20" s="1"/>
  <c r="G70" i="5"/>
  <c r="D23" i="4"/>
  <c r="R12" i="18"/>
  <c r="C8" i="4"/>
  <c r="Q5" i="18"/>
  <c r="B21" i="4"/>
  <c r="P2" i="18"/>
  <c r="R13" i="18" l="1"/>
  <c r="D25" i="4"/>
  <c r="C21" i="4"/>
  <c r="Q2" i="18"/>
  <c r="P12" i="18"/>
  <c r="B23" i="4"/>
  <c r="R14" i="18" l="1"/>
  <c r="D33" i="4"/>
  <c r="R18" i="18" s="1"/>
  <c r="Q12" i="18"/>
  <c r="C23" i="4"/>
  <c r="B25" i="4"/>
  <c r="P13" i="18"/>
  <c r="C25" i="4" l="1"/>
  <c r="Q13" i="18"/>
  <c r="P14" i="18"/>
  <c r="B33" i="4"/>
  <c r="P18" i="18" s="1"/>
  <c r="Q14" i="18" l="1"/>
  <c r="C33" i="4"/>
  <c r="Q18" i="18" s="1"/>
</calcChain>
</file>

<file path=xl/sharedStrings.xml><?xml version="1.0" encoding="utf-8"?>
<sst xmlns="http://schemas.openxmlformats.org/spreadsheetml/2006/main" count="4253" uniqueCount="3306">
  <si>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</si>
  <si>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</si>
  <si>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</si>
  <si>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</si>
  <si>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</si>
  <si>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</si>
  <si>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</si>
  <si>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</si>
  <si>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</si>
  <si>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</si>
  <si>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</si>
  <si>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</si>
  <si>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</si>
  <si>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</si>
  <si>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</si>
  <si>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</si>
  <si>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</si>
  <si>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</si>
  <si>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</si>
  <si>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</si>
  <si>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</si>
  <si>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</si>
  <si>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</si>
  <si>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</si>
  <si>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</si>
  <si>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</si>
  <si>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</si>
  <si>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</si>
  <si>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</si>
  <si>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</si>
  <si>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</si>
  <si>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</si>
  <si>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</si>
  <si>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</si>
  <si>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</si>
  <si>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</si>
  <si>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</si>
  <si>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</si>
  <si>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</si>
  <si>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</si>
  <si>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</si>
  <si>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</si>
  <si>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</si>
  <si>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</si>
  <si>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</si>
  <si>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</si>
  <si>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</si>
  <si>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</si>
  <si>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</si>
  <si>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</si>
  <si>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</si>
  <si>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</si>
  <si>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</si>
  <si>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</si>
  <si>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</si>
  <si>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</si>
  <si>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</si>
  <si>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</si>
  <si>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</si>
  <si>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</si>
  <si>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</si>
  <si>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</si>
  <si>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</si>
  <si>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</si>
  <si>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</si>
  <si>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</si>
  <si>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</si>
  <si>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</si>
  <si>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</si>
  <si>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</si>
  <si>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</si>
  <si>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</si>
  <si>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</si>
  <si>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</si>
  <si>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</si>
  <si>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</si>
  <si>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</si>
  <si>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</si>
  <si>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</si>
  <si>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</si>
  <si>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</si>
  <si>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</si>
  <si>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</si>
  <si>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</si>
  <si>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</si>
  <si>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</si>
  <si>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</si>
  <si>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</si>
  <si>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</si>
  <si>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</si>
  <si>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</si>
  <si>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</si>
  <si>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</si>
  <si>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</si>
  <si>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</si>
  <si>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</si>
  <si>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</si>
  <si>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</si>
  <si>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</si>
  <si>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</si>
  <si>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</si>
  <si>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</si>
  <si>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</si>
  <si>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</si>
  <si>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</si>
  <si>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</si>
  <si>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</si>
  <si>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</si>
  <si>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</si>
  <si>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</si>
  <si>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</si>
  <si>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</si>
  <si>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</si>
  <si>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</si>
  <si>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</si>
  <si>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</si>
  <si>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</si>
  <si>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</si>
  <si>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</si>
  <si>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</si>
  <si>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</si>
  <si>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</si>
  <si>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</si>
  <si>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</si>
  <si>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</si>
  <si>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</si>
  <si>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</si>
  <si>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</si>
  <si>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</si>
  <si>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</si>
  <si>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</si>
  <si>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</si>
  <si>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</si>
  <si>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</si>
  <si>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</si>
  <si>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</si>
  <si>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</si>
  <si>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</si>
  <si>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</si>
  <si>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</si>
  <si>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</si>
  <si>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</si>
  <si>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</si>
  <si>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</si>
  <si>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</si>
  <si>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</si>
  <si>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</si>
  <si>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</si>
  <si>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</si>
  <si>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</si>
  <si>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</si>
  <si>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</si>
  <si>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</si>
  <si>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</si>
  <si>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</si>
  <si>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</si>
  <si>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</si>
  <si>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</si>
  <si>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</si>
  <si>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</si>
  <si>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</si>
  <si>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</si>
  <si>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</si>
  <si>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</si>
  <si>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</si>
  <si>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</si>
  <si>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</si>
  <si>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</si>
  <si>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</si>
  <si>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</si>
  <si>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</si>
  <si>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</si>
  <si>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</si>
  <si>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</si>
  <si>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</si>
  <si>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</si>
  <si>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</si>
  <si>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</si>
  <si>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</si>
  <si>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</si>
  <si>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</si>
  <si>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</si>
  <si>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</si>
  <si>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</si>
  <si>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</si>
  <si>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</si>
  <si>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</si>
  <si>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</si>
  <si>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</si>
  <si>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</si>
  <si>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</si>
  <si>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</si>
  <si>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</si>
  <si>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</si>
  <si>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</si>
  <si>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</si>
  <si>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</si>
  <si>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</si>
  <si>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</si>
  <si>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</si>
  <si>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</si>
  <si>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</si>
  <si>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</si>
  <si>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</si>
  <si>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</si>
  <si>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</si>
  <si>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</si>
  <si>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</si>
  <si>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</si>
  <si>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</si>
  <si>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</si>
  <si>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</si>
  <si>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</si>
  <si>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</si>
  <si>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</si>
  <si>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</si>
  <si>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</si>
  <si>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</si>
  <si>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</si>
  <si>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</si>
  <si>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</si>
  <si>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</si>
  <si>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</si>
  <si>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</si>
  <si>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</si>
  <si>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</si>
  <si>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</si>
  <si>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</si>
  <si>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</si>
  <si>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</si>
  <si>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</si>
  <si>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</si>
  <si>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</si>
  <si>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</si>
  <si>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</si>
  <si>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</si>
  <si>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</si>
  <si>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</si>
  <si>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</si>
  <si>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</si>
  <si>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</si>
  <si>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</si>
  <si>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</si>
  <si>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</si>
  <si>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</si>
  <si>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</si>
  <si>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</si>
  <si>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</si>
  <si>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</si>
  <si>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</si>
  <si>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</si>
  <si>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</si>
  <si>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</si>
  <si>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</si>
  <si>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</si>
  <si>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</si>
  <si>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</si>
  <si>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</si>
  <si>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</si>
  <si>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</si>
  <si>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</si>
  <si>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</si>
  <si>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</si>
  <si>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</si>
  <si>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</si>
  <si>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</si>
  <si>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</si>
  <si>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</si>
  <si>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</si>
  <si>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</si>
  <si>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</si>
  <si>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</si>
  <si>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</si>
  <si>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</si>
  <si>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</si>
  <si>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</si>
  <si>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</si>
  <si>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</si>
  <si>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</si>
  <si>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</si>
  <si>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</si>
  <si>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</si>
  <si>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</si>
  <si>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</si>
  <si>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</si>
  <si>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</si>
  <si>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</si>
  <si>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</si>
  <si>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</si>
  <si>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</si>
  <si>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</si>
  <si>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</si>
  <si>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</si>
  <si>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</si>
  <si>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</si>
  <si>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</si>
  <si>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</si>
  <si>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</si>
  <si>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</si>
  <si>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</si>
  <si>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</si>
  <si>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</si>
  <si>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</si>
  <si>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</si>
  <si>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</si>
  <si>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</si>
  <si>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</si>
  <si>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</si>
  <si>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</si>
  <si>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</si>
  <si>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</si>
  <si>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</si>
  <si>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</si>
  <si>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</si>
  <si>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</si>
  <si>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</si>
  <si>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</si>
  <si>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</si>
  <si>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</si>
  <si>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</si>
  <si>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</si>
  <si>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</si>
  <si>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</si>
  <si>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</si>
  <si>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</si>
  <si>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</si>
  <si>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</si>
  <si>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</si>
  <si>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</si>
  <si>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</si>
  <si>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</si>
  <si>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</si>
  <si>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</si>
  <si>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</si>
  <si>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</si>
  <si>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</si>
  <si>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</si>
  <si>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</si>
  <si>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</si>
  <si>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</si>
  <si>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</si>
  <si>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</si>
  <si>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</si>
  <si>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</si>
  <si>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</si>
  <si>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</si>
  <si>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</si>
  <si>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</si>
  <si>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</si>
  <si>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</si>
  <si>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</si>
  <si>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</si>
  <si>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</si>
  <si>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</si>
  <si>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</si>
  <si>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</si>
  <si>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</si>
  <si>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</si>
  <si>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</si>
  <si>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</si>
  <si>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</si>
  <si>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</si>
  <si>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</si>
  <si>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</si>
  <si>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</si>
  <si>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</si>
  <si>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</si>
  <si>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</si>
  <si>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</si>
  <si>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</si>
  <si>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</si>
  <si>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</si>
  <si>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</si>
  <si>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</si>
  <si>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</si>
  <si>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</si>
  <si>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</si>
  <si>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</si>
  <si>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</si>
  <si>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</si>
  <si>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</si>
  <si>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</si>
  <si>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</si>
  <si>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</si>
  <si>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</si>
  <si>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</si>
  <si>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</si>
  <si>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</si>
  <si>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</si>
  <si>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</si>
  <si>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</si>
  <si>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</si>
  <si>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</si>
  <si>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</si>
  <si>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</si>
  <si>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</si>
  <si>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</si>
  <si>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</si>
  <si>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</si>
  <si>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</si>
  <si>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</si>
  <si>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</si>
  <si>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</si>
  <si>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</si>
  <si>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</si>
  <si>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</si>
  <si>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</si>
  <si>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</si>
  <si>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</si>
  <si>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</si>
  <si>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</si>
  <si>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</si>
  <si>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</si>
  <si>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</si>
  <si>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</si>
  <si>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</si>
  <si>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</si>
  <si>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</si>
  <si>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</si>
  <si>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</si>
  <si>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</si>
  <si>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</si>
  <si>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</si>
  <si>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</si>
  <si>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</si>
  <si>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</si>
  <si>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</si>
  <si>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</si>
  <si>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</si>
  <si>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</si>
  <si>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</si>
  <si>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</si>
  <si>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</si>
  <si>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</si>
  <si>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</si>
  <si>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</si>
  <si>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</si>
  <si>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</si>
  <si>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</si>
  <si>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</si>
  <si>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</si>
  <si>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</si>
  <si>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</si>
  <si>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</si>
  <si>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</si>
  <si>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</si>
  <si>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</si>
  <si>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</si>
  <si>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</si>
  <si>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</si>
  <si>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</si>
  <si>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</si>
  <si>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</si>
  <si>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</si>
  <si>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</si>
  <si>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</si>
  <si>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</si>
  <si>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</si>
  <si>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</si>
  <si>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</si>
  <si>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</si>
  <si>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</si>
  <si>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</si>
  <si>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</si>
  <si>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</si>
  <si>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</si>
  <si>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</si>
  <si>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</si>
  <si>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</si>
  <si>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</si>
  <si>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</si>
  <si>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</si>
  <si>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</si>
  <si>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</si>
  <si>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</si>
  <si>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</si>
  <si>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</si>
  <si>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</si>
  <si>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</si>
  <si>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</si>
  <si>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</si>
  <si>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</si>
  <si>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</si>
  <si>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</si>
  <si>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</si>
  <si>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</si>
  <si>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</si>
  <si>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</si>
  <si>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</si>
  <si>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</si>
  <si>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</si>
  <si>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</si>
  <si>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</si>
  <si>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</si>
  <si>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</si>
  <si>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</si>
  <si>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</si>
  <si>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</si>
  <si>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</si>
  <si>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</si>
  <si>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</si>
  <si>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</si>
  <si>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</si>
  <si>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</si>
  <si>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</si>
  <si>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</si>
  <si>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</si>
  <si>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</si>
  <si>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</si>
  <si>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</si>
  <si>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</si>
  <si>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</si>
  <si>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</si>
  <si>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</si>
  <si>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</si>
  <si>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</si>
  <si>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</si>
  <si>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</si>
  <si>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</si>
  <si>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</si>
  <si>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</si>
  <si>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</si>
  <si>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</si>
  <si>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</si>
  <si>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</si>
  <si>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</si>
  <si>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</si>
  <si>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</si>
  <si>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</si>
  <si>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</si>
  <si>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</si>
  <si>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</si>
  <si>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</si>
  <si>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</si>
  <si>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</si>
  <si>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</si>
  <si>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</si>
  <si>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</si>
  <si>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</si>
  <si>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</si>
  <si>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</si>
  <si>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</si>
  <si>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</si>
  <si>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</si>
  <si>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</si>
  <si>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</si>
  <si>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</si>
  <si>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</si>
  <si>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</si>
  <si>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</si>
  <si>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</si>
  <si>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</si>
  <si>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</si>
  <si>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</si>
  <si>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</si>
  <si>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</si>
  <si>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</si>
  <si>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</si>
  <si>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</si>
  <si>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</si>
  <si>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</si>
  <si>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</si>
  <si>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</si>
  <si>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</si>
  <si>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</si>
  <si>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</si>
  <si>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</si>
  <si>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</si>
  <si>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</si>
  <si>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</si>
  <si>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</si>
  <si>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</si>
  <si>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</si>
  <si>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</si>
  <si>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</si>
  <si>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</si>
  <si>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</si>
  <si>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</si>
  <si>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</si>
  <si>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</si>
  <si>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</si>
  <si>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</si>
  <si>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</si>
  <si>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</si>
  <si>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</si>
  <si>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</si>
  <si>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</si>
  <si>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</si>
  <si>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</si>
  <si>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</si>
  <si>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</si>
  <si>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</si>
  <si>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</si>
  <si>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</si>
  <si>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</si>
  <si>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</si>
  <si>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</si>
  <si>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</si>
  <si>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</si>
  <si>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</si>
  <si>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</si>
  <si>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</si>
  <si>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</si>
  <si>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</si>
  <si>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</si>
  <si>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</si>
  <si>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</si>
  <si>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</si>
  <si>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</si>
  <si>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</si>
  <si>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</si>
  <si>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</si>
  <si>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</si>
  <si>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</si>
  <si>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</si>
  <si>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</si>
  <si>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</si>
  <si>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</si>
  <si>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</si>
  <si>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</si>
  <si>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</si>
  <si>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</si>
  <si>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</si>
  <si>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</si>
  <si>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</si>
  <si>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</si>
  <si>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</si>
  <si>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</si>
  <si>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</si>
  <si>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</si>
  <si>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</si>
  <si>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</si>
  <si>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</si>
  <si>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</si>
  <si>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</si>
  <si>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</si>
  <si>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</si>
  <si>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</si>
  <si>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</si>
  <si>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</si>
  <si>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</si>
  <si>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</si>
  <si>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</si>
  <si>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</si>
  <si>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</si>
  <si>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</si>
  <si>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</si>
  <si>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</si>
  <si>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</si>
  <si>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</si>
  <si>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</si>
  <si>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</si>
  <si>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</si>
  <si>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</si>
  <si>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</si>
  <si>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</si>
  <si>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</si>
  <si>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</si>
  <si>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</si>
  <si>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</si>
  <si>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</si>
  <si>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</si>
  <si>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</si>
  <si>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</si>
  <si>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</si>
  <si>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</si>
  <si>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</si>
  <si>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</si>
  <si>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</si>
  <si>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</si>
  <si>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</si>
  <si>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</si>
  <si>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</si>
  <si>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</si>
  <si>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</si>
  <si>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</si>
  <si>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</si>
  <si>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</si>
  <si>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</si>
  <si>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</si>
  <si>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</si>
  <si>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</si>
  <si>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</si>
  <si>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</si>
  <si>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</si>
  <si>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</si>
  <si>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</si>
  <si>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</si>
  <si>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</si>
  <si>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</si>
  <si>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</si>
  <si>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</si>
  <si>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</si>
  <si>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</si>
  <si>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</si>
  <si>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</si>
  <si>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</si>
  <si>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</si>
  <si>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</si>
  <si>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</si>
  <si>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</si>
  <si>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</si>
  <si>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</si>
  <si>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</si>
  <si>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</si>
  <si>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</si>
  <si>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</si>
  <si>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</si>
  <si>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</si>
  <si>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</si>
  <si>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</si>
  <si>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</si>
  <si>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</si>
  <si>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</si>
  <si>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</si>
  <si>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</si>
  <si>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</si>
  <si>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</si>
  <si>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</si>
  <si>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</si>
  <si>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</si>
  <si>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</si>
  <si>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</si>
  <si>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</si>
  <si>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</si>
  <si>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</si>
  <si>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</si>
  <si>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</si>
  <si>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</si>
  <si>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</si>
  <si>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</si>
  <si>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</si>
  <si>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</si>
  <si>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</si>
  <si>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</si>
  <si>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</si>
  <si>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</si>
  <si>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</si>
  <si>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</si>
  <si>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</si>
  <si>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</si>
  <si>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</si>
  <si>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</si>
  <si>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</si>
  <si>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</si>
  <si>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</si>
  <si>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</si>
  <si>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</si>
  <si>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</si>
  <si>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</si>
  <si>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</si>
  <si>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</si>
  <si>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</si>
  <si>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</si>
  <si>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</si>
  <si>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</si>
  <si>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</si>
  <si>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</si>
  <si>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</si>
  <si>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</si>
  <si>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</si>
  <si>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</si>
  <si>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</si>
  <si>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</si>
  <si>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</si>
  <si>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</si>
  <si>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</si>
  <si>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</si>
  <si>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</si>
  <si>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</si>
  <si>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</si>
  <si>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</si>
  <si>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</si>
  <si>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</si>
  <si>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</si>
  <si>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</si>
  <si>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</si>
  <si>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</si>
  <si>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</si>
  <si>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</si>
  <si>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</si>
  <si>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</si>
  <si>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</si>
  <si>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</si>
  <si>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</si>
  <si>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</si>
  <si>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</si>
  <si>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</si>
  <si>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</si>
  <si>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</si>
  <si>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</si>
  <si>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</si>
  <si>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</si>
  <si>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</si>
  <si>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</si>
  <si>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</si>
  <si>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</si>
  <si>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</si>
  <si>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</si>
  <si>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</si>
  <si>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</si>
  <si>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</si>
  <si>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</si>
  <si>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</si>
  <si>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</si>
  <si>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</si>
  <si>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</si>
  <si>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</si>
  <si>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</si>
  <si>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</si>
  <si>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</si>
  <si>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</si>
  <si>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</si>
  <si>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</si>
  <si>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</si>
  <si>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</si>
  <si>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</si>
  <si>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</si>
  <si>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</si>
  <si>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</si>
  <si>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</si>
  <si>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</si>
  <si>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</si>
  <si>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</si>
  <si>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</si>
  <si>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</si>
  <si>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</si>
  <si>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</si>
  <si>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</si>
  <si>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</si>
  <si>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</si>
  <si>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</si>
  <si>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</si>
  <si>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</si>
  <si>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</si>
  <si>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</si>
  <si>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</si>
  <si>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</si>
  <si>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</si>
  <si>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</si>
  <si>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</si>
  <si>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</si>
  <si>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</si>
  <si>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</si>
  <si>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</si>
  <si>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</si>
  <si>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</si>
  <si>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</si>
  <si>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</si>
  <si>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</si>
  <si>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</si>
  <si>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</si>
  <si>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</si>
  <si>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</si>
  <si>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</si>
  <si>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</si>
  <si>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</si>
  <si>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</si>
  <si>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</si>
  <si>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</si>
  <si>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</si>
  <si>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</si>
  <si>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</si>
  <si>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</si>
  <si>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</si>
  <si>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</si>
  <si>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</si>
  <si>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</si>
  <si>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</si>
  <si>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</si>
  <si>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</si>
  <si>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</si>
  <si>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</si>
  <si>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</si>
  <si>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</si>
  <si>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</si>
  <si>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</si>
  <si>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</si>
  <si>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</si>
  <si>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</si>
  <si>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</si>
  <si>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</si>
  <si>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</si>
  <si>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</si>
  <si>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</si>
  <si>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</si>
  <si>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</si>
  <si>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</si>
  <si>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</si>
  <si>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</si>
  <si>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</si>
  <si>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</si>
  <si>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</si>
  <si>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</si>
  <si>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</si>
  <si>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</si>
  <si>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</si>
  <si>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</si>
  <si>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</si>
  <si>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</si>
  <si>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</si>
  <si>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</si>
  <si>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</si>
  <si>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</si>
  <si>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</si>
  <si>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</si>
  <si>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</si>
  <si>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</si>
  <si>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</si>
  <si>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</si>
  <si>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</si>
  <si>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</si>
  <si>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</si>
  <si>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</si>
  <si>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</si>
  <si>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</si>
  <si>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</si>
  <si>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</si>
  <si>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</si>
  <si>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</si>
  <si>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</si>
  <si>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</si>
  <si>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</si>
  <si>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</si>
  <si>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</si>
  <si>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</si>
  <si>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</si>
  <si>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</si>
  <si>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</si>
  <si>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</si>
  <si>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</si>
  <si>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</si>
  <si>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</si>
  <si>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</si>
  <si>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</si>
  <si>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</si>
  <si>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</si>
  <si>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</si>
  <si>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</si>
  <si>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</si>
  <si>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</si>
  <si>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</si>
  <si>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</si>
  <si>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</si>
  <si>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</si>
  <si>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</si>
  <si>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</si>
  <si>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</si>
  <si>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</si>
  <si>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</si>
  <si>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</si>
  <si>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</si>
  <si>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</si>
  <si>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</si>
  <si>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</si>
  <si>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</si>
  <si>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</si>
  <si>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</si>
  <si>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</si>
  <si>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</si>
  <si>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</si>
  <si>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</si>
  <si>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</si>
  <si>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</si>
  <si>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</si>
  <si>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</si>
  <si>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</si>
  <si>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</si>
  <si>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</si>
  <si>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</si>
  <si>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</si>
  <si>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</si>
  <si>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</si>
  <si>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</si>
  <si>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</si>
  <si>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</si>
  <si>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</si>
  <si>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</si>
  <si>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</si>
  <si>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</si>
  <si>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</si>
  <si>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</si>
  <si>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</si>
  <si>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</si>
  <si>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</si>
  <si>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</si>
  <si>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</si>
  <si>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</si>
  <si>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</si>
  <si>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</si>
  <si>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</si>
  <si>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</si>
  <si>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</si>
  <si>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</si>
  <si>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</si>
  <si>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</si>
  <si>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</si>
  <si>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</si>
  <si>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</si>
  <si>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</si>
  <si>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</si>
  <si>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</si>
  <si>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</si>
  <si>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</si>
  <si>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</si>
  <si>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</si>
  <si>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</si>
  <si>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</si>
  <si>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</si>
  <si>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</si>
  <si>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</si>
  <si>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</si>
  <si>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</si>
  <si>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</si>
  <si>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</si>
  <si>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</si>
  <si>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</si>
  <si>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</si>
  <si>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</si>
  <si>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</si>
  <si>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</si>
  <si>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</si>
  <si>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</si>
  <si>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</si>
  <si>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</si>
  <si>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</si>
  <si>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</si>
  <si>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</si>
  <si>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</si>
  <si>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</si>
  <si>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</si>
  <si>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</si>
  <si>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</si>
  <si>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</si>
  <si>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</si>
  <si>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</si>
  <si>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</si>
  <si>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</si>
  <si>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</si>
  <si>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</si>
  <si>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</si>
  <si>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</si>
  <si>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</si>
  <si>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</si>
  <si>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</si>
  <si>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</si>
  <si>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</si>
  <si>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</si>
  <si>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</si>
  <si>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</si>
  <si>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</si>
  <si>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</si>
  <si>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</si>
  <si>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</si>
  <si>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</si>
  <si>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</si>
  <si>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</si>
  <si>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</si>
  <si>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</si>
  <si>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</si>
  <si>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</si>
  <si>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</si>
  <si>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</si>
  <si>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</si>
  <si>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</si>
  <si>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</si>
  <si>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</si>
  <si>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</si>
  <si>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</si>
  <si>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</si>
  <si>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</si>
  <si>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</si>
  <si>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</si>
  <si>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</si>
  <si>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</si>
  <si>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</si>
  <si>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</si>
  <si>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</si>
  <si>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</si>
  <si>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</si>
  <si>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</si>
  <si>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</si>
  <si>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</si>
  <si>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</si>
  <si>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</si>
  <si>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</si>
  <si>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</si>
  <si>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</si>
  <si>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</si>
  <si>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</si>
  <si>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</si>
  <si>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</si>
  <si>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</si>
  <si>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</si>
  <si>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</si>
  <si>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</si>
  <si>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</si>
  <si>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</si>
  <si>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</si>
  <si>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</si>
  <si>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</si>
  <si>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</si>
  <si>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</si>
  <si>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</si>
  <si>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</si>
  <si>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</si>
  <si>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</si>
  <si>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</si>
  <si>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</si>
  <si>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</si>
  <si>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</si>
  <si>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</si>
  <si>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</si>
  <si>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</si>
  <si>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</si>
  <si>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</si>
  <si>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</si>
  <si>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</si>
  <si>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</si>
  <si>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</si>
  <si>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</si>
  <si>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</si>
  <si>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</si>
  <si>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</si>
  <si>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</si>
  <si>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</si>
  <si>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</si>
  <si>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</si>
  <si>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</si>
  <si>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</si>
  <si>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</si>
  <si>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</si>
  <si>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</si>
  <si>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</si>
  <si>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</si>
  <si>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</si>
  <si>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</si>
  <si>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</si>
  <si>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</si>
  <si>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</si>
  <si>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</si>
  <si>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</si>
  <si>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</si>
  <si>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</si>
  <si>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</si>
  <si>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</si>
  <si>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</si>
  <si>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</si>
  <si>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</si>
  <si>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</si>
  <si>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</si>
  <si>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</si>
  <si>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</si>
  <si>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</si>
  <si>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</si>
  <si>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</si>
  <si>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</si>
  <si>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</si>
  <si>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</si>
  <si>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</si>
  <si>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</si>
  <si>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</si>
  <si>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</si>
  <si>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</si>
  <si>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</si>
  <si>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</si>
  <si>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</si>
  <si>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</si>
  <si>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</si>
  <si>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</si>
  <si>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</si>
  <si>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</si>
  <si>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</si>
  <si>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</si>
  <si>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</si>
  <si>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</si>
  <si>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</si>
  <si>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</si>
  <si>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</si>
  <si>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</si>
  <si>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</si>
  <si>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</si>
  <si>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</si>
  <si>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</si>
  <si>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</si>
  <si>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</si>
  <si>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</si>
  <si>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</si>
  <si>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</si>
  <si>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</si>
  <si>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</si>
  <si>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</si>
  <si>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</si>
  <si>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</si>
  <si>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</si>
  <si>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</si>
  <si>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</si>
  <si>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</si>
  <si>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</si>
  <si>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</si>
  <si>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</si>
  <si>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</si>
  <si>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</si>
  <si>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</si>
  <si>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</si>
  <si>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</si>
  <si>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</si>
  <si>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</si>
  <si>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</si>
  <si>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</si>
  <si>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</si>
  <si>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</si>
  <si>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</si>
  <si>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</si>
  <si>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</si>
  <si>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</si>
  <si>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</si>
  <si>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</si>
  <si>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</si>
  <si>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</si>
  <si>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</si>
  <si>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</si>
  <si>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</si>
  <si>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</si>
  <si>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</si>
  <si>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</si>
  <si>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</si>
  <si>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</si>
  <si>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</si>
  <si>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</si>
  <si>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</si>
  <si>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</si>
  <si>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</si>
  <si>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</si>
  <si>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</si>
  <si>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</si>
  <si>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</si>
  <si>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</si>
  <si>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</si>
  <si>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</si>
  <si>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</si>
  <si>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</si>
  <si>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</si>
  <si>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</si>
  <si>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</si>
  <si>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</si>
  <si>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</si>
  <si>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</si>
  <si>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</si>
  <si>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</si>
  <si>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</si>
  <si>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</si>
  <si>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</si>
  <si>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</si>
  <si>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</si>
  <si>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</si>
  <si>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</si>
  <si>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</si>
  <si>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</si>
  <si>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</si>
  <si>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</si>
  <si>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</si>
  <si>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</si>
  <si>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</si>
  <si>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</si>
  <si>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</si>
  <si>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</si>
  <si>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</si>
  <si>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</si>
  <si>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</si>
  <si>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</si>
  <si>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</si>
  <si>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</si>
  <si>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</si>
  <si>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</si>
  <si>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</si>
  <si>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</si>
  <si>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</si>
  <si>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</si>
  <si>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</si>
  <si>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</si>
  <si>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</si>
  <si>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</si>
  <si>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</si>
  <si>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</si>
  <si>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</si>
  <si>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</si>
  <si>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</si>
  <si>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</si>
  <si>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</si>
  <si>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</si>
  <si>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</si>
  <si>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</si>
  <si>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</si>
  <si>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</si>
  <si>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</si>
  <si>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</si>
  <si>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</si>
  <si>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</si>
  <si>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</si>
  <si>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</si>
  <si>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</si>
  <si>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</si>
  <si>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</si>
  <si>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</si>
  <si>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</si>
  <si>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</si>
  <si>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</si>
  <si>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</si>
  <si>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</si>
  <si>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</si>
  <si>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</si>
  <si>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</si>
  <si>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</si>
  <si>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</si>
  <si>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</si>
  <si>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</si>
  <si>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</si>
  <si>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</si>
  <si>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</si>
  <si>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</si>
  <si>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</si>
  <si>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</si>
  <si>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</si>
  <si>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</si>
  <si>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</si>
  <si>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</si>
  <si>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</si>
  <si>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</si>
  <si>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</si>
  <si>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</si>
  <si>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</si>
  <si>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</si>
  <si>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</si>
  <si>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</si>
  <si>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</si>
  <si>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</si>
  <si>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</si>
  <si>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</si>
  <si>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</si>
  <si>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</si>
  <si>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</si>
  <si>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</si>
  <si>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</si>
  <si>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</si>
  <si>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</si>
  <si>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</si>
  <si>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</si>
  <si>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</si>
  <si>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</si>
  <si>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</si>
  <si>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</si>
  <si>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</si>
  <si>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</si>
  <si>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</si>
  <si>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</si>
  <si>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</si>
  <si>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</si>
  <si>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</si>
  <si>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</si>
  <si>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</si>
  <si>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</si>
  <si>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</si>
  <si>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</si>
  <si>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</si>
  <si>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</si>
  <si>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</si>
  <si>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</si>
  <si>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</si>
  <si>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</si>
  <si>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</si>
  <si>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</si>
  <si>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</si>
  <si>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</si>
  <si>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</si>
  <si>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</si>
  <si>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</si>
  <si>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</si>
  <si>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</si>
  <si>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</si>
  <si>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</si>
  <si>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</si>
  <si>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</si>
  <si>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</si>
  <si>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</si>
  <si>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</si>
  <si>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</si>
  <si>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</si>
  <si>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</si>
  <si>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</si>
  <si>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</si>
  <si>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</si>
  <si>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</si>
  <si>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</si>
  <si>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</si>
  <si>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</si>
  <si>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</si>
  <si>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</si>
  <si>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</si>
  <si>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</si>
  <si>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</si>
  <si>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</si>
  <si>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</si>
  <si>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</si>
  <si>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</si>
  <si>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</si>
  <si>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</si>
  <si>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</si>
  <si>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</si>
  <si>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</si>
  <si>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</si>
  <si>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</si>
  <si>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</si>
  <si>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</si>
  <si>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</si>
  <si>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</si>
  <si>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</si>
  <si>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</si>
  <si>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</si>
  <si>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</si>
  <si>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</si>
  <si>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</si>
  <si>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</si>
  <si>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</si>
  <si>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</si>
  <si>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</si>
  <si>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</si>
  <si>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</si>
  <si>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</si>
  <si>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</si>
  <si>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</si>
  <si>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</si>
  <si>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</si>
  <si>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</si>
  <si>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</si>
  <si>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</si>
  <si>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</si>
  <si>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</si>
  <si>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</si>
  <si>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</si>
  <si>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</si>
  <si>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</si>
  <si>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</si>
  <si>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</si>
  <si>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</si>
  <si>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</si>
  <si>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</si>
  <si>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</si>
  <si>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</si>
  <si>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</si>
  <si>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</si>
  <si>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</si>
  <si>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</si>
  <si>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</si>
  <si>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</si>
  <si>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</si>
  <si>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</si>
  <si>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</si>
  <si>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</si>
  <si>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</si>
  <si>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</si>
  <si>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</si>
  <si>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</si>
  <si>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</si>
  <si>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</si>
  <si>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</si>
  <si>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</si>
  <si>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</si>
  <si>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</si>
  <si>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</si>
  <si>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</si>
  <si>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</si>
  <si>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</si>
  <si>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</si>
  <si>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</si>
  <si>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</si>
  <si>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</si>
  <si>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</si>
  <si>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</si>
  <si>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</si>
  <si>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</si>
  <si>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</si>
  <si>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</si>
  <si>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</si>
  <si>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</si>
  <si>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</si>
  <si>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</si>
  <si>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</si>
  <si>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</si>
  <si>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</si>
  <si>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</si>
  <si>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</si>
  <si>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</si>
  <si>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</si>
  <si>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</si>
  <si>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</si>
  <si>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</si>
  <si>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</si>
  <si>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</si>
  <si>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</si>
  <si>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</si>
  <si>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</si>
  <si>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</si>
  <si>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</si>
  <si>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</si>
  <si>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</si>
  <si>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</si>
  <si>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</si>
  <si>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</si>
  <si>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</si>
  <si>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</si>
  <si>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</si>
  <si>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</si>
  <si>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</si>
  <si>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</si>
  <si>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</si>
  <si>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</si>
  <si>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</si>
  <si>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</si>
  <si>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</si>
  <si>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</si>
  <si>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</si>
  <si>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</si>
  <si>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</si>
  <si>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</si>
  <si>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</si>
  <si>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</si>
  <si>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</si>
  <si>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</si>
  <si>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</si>
  <si>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</si>
  <si>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</si>
  <si>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</si>
  <si>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</si>
  <si>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</si>
  <si>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</si>
  <si>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</si>
  <si>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</si>
  <si>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</si>
  <si>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</si>
  <si>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</si>
  <si>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</si>
  <si>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</si>
  <si>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</si>
  <si>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</si>
  <si>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</si>
  <si>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</si>
  <si>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</si>
  <si>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</si>
  <si>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</si>
  <si>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</si>
  <si>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</si>
  <si>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</si>
  <si>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</si>
  <si>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</si>
  <si>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</si>
  <si>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</si>
  <si>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</si>
  <si>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</si>
  <si>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</si>
  <si>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</si>
  <si>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</si>
  <si>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</si>
  <si>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</si>
  <si>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</si>
  <si>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</si>
  <si>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</si>
  <si>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</si>
  <si>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</si>
  <si>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</si>
  <si>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</si>
  <si>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</si>
  <si>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</si>
  <si>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</si>
  <si>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</si>
  <si>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</si>
  <si>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</si>
  <si>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</si>
  <si>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</si>
  <si>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</si>
  <si>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</si>
  <si>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</si>
  <si>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</si>
  <si>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</si>
  <si>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</si>
  <si>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</si>
  <si>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</si>
  <si>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</si>
  <si>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</si>
  <si>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</si>
  <si>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</si>
  <si>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</si>
  <si>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</si>
  <si>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</si>
  <si>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</si>
  <si>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</si>
  <si>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</si>
  <si>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</si>
  <si>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</si>
  <si>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</si>
  <si>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</si>
  <si>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</si>
  <si>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</si>
  <si>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</si>
  <si>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</si>
  <si>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</si>
  <si>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</si>
  <si>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</si>
  <si>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</si>
  <si>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</si>
  <si>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</si>
  <si>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</si>
  <si>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</si>
  <si>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</si>
  <si>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</si>
  <si>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</si>
  <si>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</si>
  <si>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</si>
  <si>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</si>
  <si>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</si>
  <si>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</si>
  <si>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</si>
  <si>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</si>
  <si>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</si>
  <si>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</si>
  <si>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</si>
  <si>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</si>
  <si>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</si>
  <si>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</si>
  <si>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</si>
  <si>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</si>
  <si>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</si>
  <si>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</si>
  <si>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</si>
  <si>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</si>
  <si>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</si>
  <si>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</si>
  <si>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</si>
  <si>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</si>
  <si>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</si>
  <si>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</si>
  <si>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</si>
  <si>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</si>
  <si>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</si>
  <si>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</si>
  <si>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</si>
  <si>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</si>
  <si>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</si>
  <si>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</si>
  <si>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</si>
  <si>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</si>
  <si>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</si>
  <si>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</si>
  <si>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</si>
  <si>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</si>
  <si>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</si>
  <si>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</si>
  <si>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</si>
  <si>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</si>
  <si>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</si>
  <si>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</si>
  <si>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</si>
  <si>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</si>
  <si>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</si>
  <si>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</si>
  <si>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</si>
  <si>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</si>
  <si>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</si>
  <si>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</si>
  <si>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</si>
  <si>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</si>
  <si>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</si>
  <si>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</si>
  <si>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</si>
  <si>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</si>
  <si>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</si>
  <si>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</si>
  <si>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</si>
  <si>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</si>
  <si>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</si>
  <si>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</si>
  <si>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</si>
  <si>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</si>
  <si>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</si>
  <si>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</si>
  <si>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</si>
  <si>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</si>
  <si>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</si>
  <si>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</si>
  <si>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</si>
  <si>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</si>
  <si>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</si>
  <si>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</si>
  <si>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</si>
  <si>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</si>
  <si>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</si>
  <si>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</si>
  <si>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</si>
  <si>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</si>
  <si>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</si>
  <si>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</si>
  <si>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</si>
  <si>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</si>
  <si>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</si>
  <si>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</si>
  <si>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</si>
  <si>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</si>
  <si>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</si>
  <si>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</si>
  <si>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</si>
  <si>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</si>
  <si>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</si>
  <si>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</si>
  <si>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</si>
  <si>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</si>
  <si>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</si>
  <si>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</si>
  <si>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</si>
  <si>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</si>
  <si>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</si>
  <si>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</si>
  <si>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</si>
  <si>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</si>
  <si>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</si>
  <si>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</si>
  <si>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</si>
  <si>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</si>
  <si>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</si>
  <si>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</si>
  <si>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</si>
  <si>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</si>
  <si>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</si>
  <si>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</si>
  <si>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</si>
  <si>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</si>
  <si>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</si>
  <si>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</si>
  <si>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</si>
  <si>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</si>
  <si>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</si>
  <si>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</si>
  <si>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</si>
  <si>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</si>
  <si>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</si>
  <si>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</si>
  <si>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</si>
  <si>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</si>
  <si>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</si>
  <si>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</si>
  <si>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</si>
  <si>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</si>
  <si>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</si>
  <si>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</si>
  <si>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</si>
  <si>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</si>
  <si>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</si>
  <si>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</si>
  <si>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</si>
  <si>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</si>
  <si>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</si>
  <si>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</si>
  <si>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</si>
  <si>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</si>
  <si>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</si>
  <si>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</si>
  <si>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</si>
  <si>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</si>
  <si>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</si>
  <si>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</si>
  <si>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</si>
  <si>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</si>
  <si>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</si>
  <si>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</si>
  <si>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</si>
  <si>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</si>
  <si>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</si>
  <si>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</si>
  <si>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</si>
  <si>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</si>
  <si>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</si>
  <si>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</si>
  <si>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</si>
  <si>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</si>
  <si>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</si>
  <si>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</si>
  <si>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</si>
  <si>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</si>
  <si>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</si>
  <si>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</si>
  <si>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</si>
  <si>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</si>
  <si>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</si>
  <si>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</si>
  <si>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</si>
  <si>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</si>
  <si>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</si>
  <si>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</si>
  <si>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</si>
  <si>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</si>
  <si>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</si>
  <si>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</si>
  <si>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</si>
  <si>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</si>
  <si>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</si>
  <si>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</si>
  <si>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</si>
  <si>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</si>
  <si>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</si>
  <si>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</si>
  <si>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</si>
  <si>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</si>
  <si>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</si>
  <si>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</si>
  <si>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</si>
  <si>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</si>
  <si>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</si>
  <si>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</si>
  <si>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</si>
  <si>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</si>
  <si>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</si>
  <si>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</si>
  <si>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</si>
  <si>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</si>
  <si>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</si>
  <si>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</si>
  <si>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</si>
  <si>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</si>
  <si>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</si>
  <si>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</si>
  <si>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</si>
  <si>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</si>
  <si>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</si>
  <si>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</si>
  <si>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</si>
  <si>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</si>
  <si>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</si>
  <si>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</si>
  <si>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</si>
  <si>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</si>
  <si>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</si>
  <si>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</si>
  <si>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</si>
  <si>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</si>
  <si>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</si>
  <si>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</si>
  <si>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</si>
  <si>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</si>
  <si>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</si>
  <si>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</si>
  <si>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</si>
  <si>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</si>
  <si>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</si>
  <si>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</si>
  <si>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</si>
  <si>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</si>
  <si>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</si>
  <si>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</si>
  <si>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</si>
  <si>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</si>
  <si>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</si>
  <si>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</si>
  <si>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</si>
  <si>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</si>
  <si>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</si>
  <si>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</si>
  <si>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</si>
  <si>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</si>
  <si>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</si>
  <si>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</si>
  <si>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</si>
  <si>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</si>
  <si>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</si>
  <si>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</si>
  <si>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</si>
  <si>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</si>
  <si>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</si>
  <si>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</si>
  <si>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</si>
  <si>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</si>
  <si>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</si>
  <si>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</si>
  <si>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</si>
  <si>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</si>
  <si>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</si>
  <si>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</si>
  <si>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</si>
  <si>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</si>
  <si>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</si>
  <si>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</si>
  <si>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</si>
  <si>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</si>
  <si>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</si>
  <si>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</si>
  <si>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</si>
  <si>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</si>
  <si>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</si>
  <si>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</si>
  <si>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</si>
  <si>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</si>
  <si>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</si>
  <si>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</si>
  <si>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</si>
  <si>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</si>
  <si>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</si>
  <si>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</si>
  <si>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</si>
  <si>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</si>
  <si>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</si>
  <si>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</si>
  <si>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</si>
  <si>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</si>
  <si>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</si>
  <si>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</si>
  <si>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</si>
  <si>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</si>
  <si>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</si>
  <si>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</si>
  <si>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</si>
  <si>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</si>
  <si>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</si>
  <si>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</si>
  <si>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</si>
  <si>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</si>
  <si>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</si>
  <si>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</si>
  <si>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</si>
  <si>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</si>
  <si>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</si>
  <si>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</si>
  <si>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</si>
  <si>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</si>
  <si>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</si>
  <si>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</si>
  <si>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</si>
  <si>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</si>
  <si>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</si>
  <si>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</si>
  <si>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</si>
  <si>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</si>
  <si>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</si>
  <si>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</si>
  <si>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</si>
  <si>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</si>
  <si>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</si>
  <si>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</si>
  <si>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</si>
  <si>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</si>
  <si>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</si>
  <si>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</si>
  <si>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</si>
  <si>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</si>
  <si>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</si>
  <si>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</si>
  <si>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</si>
  <si>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</si>
  <si>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</si>
  <si>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</si>
  <si>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</si>
  <si>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</si>
  <si>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</si>
  <si>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</si>
  <si>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</si>
  <si>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</si>
  <si>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</si>
  <si>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</si>
  <si>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</si>
  <si>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</si>
  <si>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</si>
  <si>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</si>
  <si>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</si>
  <si>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</si>
  <si>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</si>
  <si>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</si>
  <si>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</si>
  <si>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</si>
  <si>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</si>
  <si>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</si>
  <si>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</si>
  <si>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</si>
  <si>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</si>
  <si>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</si>
  <si>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</si>
  <si>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</si>
  <si>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</si>
  <si>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</si>
  <si>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</si>
  <si>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</si>
  <si>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</si>
  <si>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</si>
  <si>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</si>
  <si>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</si>
  <si>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</si>
  <si>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</si>
  <si>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</si>
  <si>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</si>
  <si>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</si>
  <si>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</si>
  <si>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</si>
  <si>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</si>
  <si>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</si>
  <si>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</si>
  <si>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</si>
  <si>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</si>
  <si>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</si>
  <si>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</si>
  <si>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</si>
  <si>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</si>
  <si>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</si>
  <si>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</si>
  <si>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</si>
  <si>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</si>
  <si>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</si>
  <si>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</si>
  <si>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</si>
  <si>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</si>
  <si>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</si>
  <si>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</si>
  <si>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</si>
  <si>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</si>
  <si>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</si>
  <si>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</si>
  <si>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</si>
  <si>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</si>
  <si>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</si>
  <si>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</si>
  <si>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</si>
  <si>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</si>
  <si>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</si>
  <si>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</si>
  <si>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</si>
  <si>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</si>
  <si>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</si>
  <si>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</si>
  <si>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</si>
  <si>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</si>
  <si>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</si>
  <si>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</si>
  <si>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</si>
  <si>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</si>
  <si>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</si>
  <si>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</si>
  <si>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</si>
  <si>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</si>
  <si>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</si>
  <si>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</si>
  <si>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</si>
  <si>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</si>
  <si>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</si>
  <si>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</si>
  <si>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</si>
  <si>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</si>
  <si>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</si>
  <si>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</si>
  <si>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</si>
  <si>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</si>
  <si>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</si>
  <si>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</si>
  <si>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</si>
  <si>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</si>
  <si>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</si>
  <si>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</si>
  <si>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</si>
  <si>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</si>
  <si>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</si>
  <si>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</si>
  <si>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</si>
  <si>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</si>
  <si>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</si>
  <si>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</si>
  <si>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</si>
  <si>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</si>
  <si>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</si>
  <si>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</si>
  <si>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</si>
  <si>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</si>
  <si>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</si>
  <si>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</si>
  <si>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</si>
  <si>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</si>
  <si>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</si>
  <si>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</si>
  <si>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</si>
  <si>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</si>
  <si>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</si>
  <si>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</si>
  <si>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</si>
  <si>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</si>
  <si>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</si>
  <si>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</si>
  <si>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</si>
  <si>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</si>
  <si>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</si>
  <si>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</si>
  <si>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</si>
  <si>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</si>
  <si>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</si>
  <si>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</si>
  <si>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</si>
  <si>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</si>
  <si>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</si>
  <si>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</si>
  <si>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</si>
  <si>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</si>
  <si>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</si>
  <si>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</si>
  <si>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</si>
  <si>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</si>
  <si>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</si>
  <si>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</si>
  <si>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</si>
  <si>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</si>
  <si>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</si>
  <si>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</si>
  <si>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</si>
  <si>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</si>
  <si>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</si>
  <si>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</si>
  <si>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</si>
  <si>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</si>
  <si>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</si>
  <si>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</si>
  <si>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</si>
  <si>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</si>
  <si>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</si>
  <si>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</si>
  <si>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</si>
  <si>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</si>
  <si>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</si>
  <si>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</si>
  <si>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</si>
  <si>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</si>
  <si>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</si>
  <si>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</si>
  <si>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</si>
  <si>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</si>
  <si>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</si>
  <si>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</si>
  <si>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</si>
  <si>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</si>
  <si>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</si>
  <si>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</si>
  <si>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</si>
  <si>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</si>
  <si>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</si>
  <si>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</si>
  <si>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</si>
  <si>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</si>
  <si>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</si>
  <si>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</si>
  <si>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</si>
  <si>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</si>
  <si>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</si>
  <si>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</si>
  <si>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</si>
  <si>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</si>
  <si>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</si>
  <si>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</si>
  <si>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</si>
  <si>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</si>
  <si>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</si>
  <si>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</si>
  <si>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</si>
  <si>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</si>
  <si>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</si>
  <si>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</si>
  <si>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</si>
  <si>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</si>
  <si>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</si>
  <si>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</si>
  <si>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</si>
  <si>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</si>
  <si>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</si>
  <si>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</si>
  <si>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</si>
  <si>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</si>
  <si>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</si>
  <si>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</si>
  <si>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</si>
  <si>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</si>
  <si>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</si>
  <si>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</si>
  <si>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</si>
  <si>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</si>
  <si>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</si>
  <si>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</si>
  <si>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</si>
  <si>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</si>
  <si>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</si>
  <si>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</si>
  <si>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</si>
  <si>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</si>
  <si>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</si>
  <si>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</si>
  <si>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</si>
  <si>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</si>
  <si>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</si>
  <si>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</si>
  <si>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</si>
  <si>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</si>
  <si>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</si>
  <si>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</si>
  <si>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</si>
  <si>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</si>
  <si>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</si>
  <si>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</si>
  <si>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</si>
  <si>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</si>
  <si>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</si>
  <si>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</si>
  <si>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</si>
  <si>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</si>
  <si>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</si>
  <si>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</si>
  <si>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</si>
  <si>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</si>
  <si>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</si>
  <si>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</si>
  <si>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</si>
  <si>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</si>
  <si>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</si>
  <si>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</si>
  <si>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</si>
  <si>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</si>
  <si>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</si>
  <si>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</si>
  <si>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</si>
  <si>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</si>
  <si>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</si>
  <si>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</si>
  <si>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</si>
  <si>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</si>
  <si>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</si>
  <si>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</si>
  <si>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</si>
  <si>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</si>
  <si>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</si>
  <si>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</si>
  <si>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</si>
  <si>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</si>
  <si>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</si>
  <si>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</si>
  <si>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</si>
  <si>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</si>
  <si>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</si>
  <si>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</si>
  <si>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</si>
  <si>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</si>
  <si>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</si>
  <si>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</si>
  <si>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</si>
  <si>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</si>
  <si>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</si>
  <si>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</si>
  <si>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</si>
  <si>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</si>
  <si>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</si>
  <si>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</si>
  <si>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</si>
  <si>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</si>
  <si>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</si>
  <si>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</si>
  <si>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</si>
  <si>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</si>
  <si>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</si>
  <si>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</si>
  <si>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</si>
  <si>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</si>
  <si>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</si>
  <si>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</si>
  <si>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</si>
  <si>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</si>
  <si>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</si>
  <si>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</si>
  <si>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</si>
  <si>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</si>
  <si>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</si>
  <si>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</si>
  <si>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</si>
  <si>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</si>
  <si>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</si>
  <si>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</si>
  <si>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</si>
  <si>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</si>
  <si>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</si>
  <si>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</si>
  <si>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</si>
  <si>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</si>
  <si>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</si>
  <si>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</si>
  <si>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</si>
  <si>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</si>
  <si>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</si>
  <si>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</si>
  <si>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</si>
  <si>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</si>
  <si>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</si>
  <si>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</si>
  <si>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</si>
  <si>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</si>
  <si>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</si>
  <si>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</si>
  <si>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</si>
  <si>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</si>
  <si>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</si>
  <si>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</si>
  <si>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</si>
  <si>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</si>
  <si>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</si>
  <si>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</si>
  <si>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</si>
  <si>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</si>
  <si>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</si>
  <si>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</si>
  <si>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</si>
  <si>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</si>
  <si>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</si>
  <si>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</si>
  <si>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</si>
  <si>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</si>
  <si>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</si>
  <si>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</si>
  <si>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</si>
  <si>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</si>
  <si>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</si>
  <si>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</si>
  <si>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</si>
  <si>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</si>
  <si>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</si>
  <si>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</si>
  <si>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</si>
  <si>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</si>
  <si>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</si>
  <si>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</si>
  <si>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</si>
  <si>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</si>
  <si>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</si>
  <si>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</si>
  <si>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</si>
  <si>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</si>
  <si>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</si>
  <si>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</si>
  <si>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</si>
  <si>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</si>
  <si>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</si>
  <si>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</si>
  <si>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</si>
  <si>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</si>
  <si>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</si>
  <si>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</si>
  <si>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</si>
  <si>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</si>
  <si>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</si>
  <si>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</si>
  <si>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</si>
  <si>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</si>
  <si>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</si>
  <si>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</si>
  <si>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</si>
  <si>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</si>
  <si>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</si>
  <si>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</si>
  <si>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</si>
  <si>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</si>
  <si>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</si>
  <si>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</si>
  <si>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</si>
  <si>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</si>
  <si>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</si>
  <si>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</si>
  <si>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</si>
  <si>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</si>
  <si>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</si>
  <si>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</si>
  <si>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</si>
  <si>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</si>
  <si>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</si>
  <si>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</si>
  <si>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</si>
  <si>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</si>
  <si>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</si>
  <si>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</si>
  <si>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</si>
  <si>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</si>
  <si>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</si>
  <si>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</si>
  <si>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</si>
  <si>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</si>
  <si>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</si>
  <si>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</si>
  <si>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</si>
  <si>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</si>
  <si>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</si>
  <si>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</si>
  <si>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</si>
  <si>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</si>
  <si>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</si>
  <si>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</si>
  <si>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</si>
  <si>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</si>
  <si>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</si>
  <si>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</si>
  <si>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</si>
  <si>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</si>
  <si>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</si>
  <si>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</si>
  <si>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</si>
  <si>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</si>
  <si>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</si>
  <si>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</si>
  <si>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</si>
  <si>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</si>
  <si>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</si>
  <si>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</si>
  <si>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</si>
  <si>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</si>
  <si>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</si>
  <si>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</si>
  <si>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</si>
  <si>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</si>
  <si>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</si>
  <si>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</si>
  <si>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</si>
  <si>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</si>
  <si>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</si>
  <si>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</si>
  <si>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</si>
  <si>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</si>
  <si>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</si>
  <si>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</si>
  <si>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</si>
  <si>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</si>
  <si>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</si>
  <si>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</si>
  <si>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</si>
  <si>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</si>
  <si>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</si>
  <si>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</si>
  <si>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</si>
  <si>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</si>
  <si>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</si>
  <si>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</si>
  <si>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</si>
  <si>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</si>
  <si>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</si>
  <si>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</si>
  <si>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</si>
  <si>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</si>
  <si>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</si>
  <si>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</si>
  <si>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</si>
  <si>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</si>
  <si>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</si>
  <si>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</si>
  <si>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</si>
  <si>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</si>
  <si>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</si>
  <si>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</si>
  <si>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</si>
  <si>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</si>
  <si>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</si>
  <si>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</si>
  <si>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</si>
  <si>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</si>
  <si>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</si>
  <si>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</si>
  <si>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</si>
  <si>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</si>
  <si>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</si>
  <si>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</si>
  <si>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</si>
  <si>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</si>
  <si>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</si>
  <si>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</si>
  <si>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</si>
  <si>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</si>
  <si>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</si>
  <si>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</si>
  <si>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</si>
  <si>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</si>
  <si>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</si>
  <si>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</si>
  <si>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</si>
  <si>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</si>
  <si>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</si>
  <si>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</si>
  <si>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</si>
  <si>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</si>
  <si>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</si>
  <si>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</si>
  <si>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</si>
  <si>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</si>
  <si>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</si>
  <si>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</si>
  <si>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</si>
  <si>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</si>
  <si>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</si>
  <si>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</si>
  <si>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</si>
  <si>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</si>
  <si>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</si>
  <si>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</si>
  <si>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</si>
  <si>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</si>
  <si>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</si>
  <si>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</si>
  <si>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</si>
  <si>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</si>
  <si>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</si>
  <si>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</si>
  <si>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</si>
  <si>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</si>
  <si>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</si>
  <si>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</si>
  <si>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</si>
  <si>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</si>
  <si>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</si>
  <si>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</si>
  <si>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</si>
  <si>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</si>
  <si>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</si>
  <si>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</si>
  <si>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</si>
  <si>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</si>
  <si>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</si>
  <si>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</si>
  <si>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</si>
  <si>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</si>
  <si>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</si>
  <si>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</si>
  <si>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</si>
  <si>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</si>
  <si>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</si>
  <si>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</si>
  <si>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</si>
  <si>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</si>
  <si>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</si>
  <si>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</si>
  <si>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</si>
  <si>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</si>
  <si>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</si>
  <si>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</si>
  <si>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</si>
  <si>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</si>
  <si>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</si>
  <si>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</si>
  <si>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</si>
  <si>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</si>
  <si>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</si>
  <si>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</si>
  <si>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</si>
  <si>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</si>
  <si>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</si>
  <si>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</si>
  <si>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</si>
  <si>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</si>
  <si>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</si>
  <si>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</si>
  <si>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</si>
  <si>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</si>
  <si>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</si>
  <si>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</si>
  <si>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</si>
  <si>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</si>
  <si>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</si>
  <si>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</si>
  <si>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</si>
  <si>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</si>
  <si>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</si>
  <si>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</si>
  <si>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</si>
  <si>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</si>
  <si>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</si>
  <si>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</si>
  <si>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</si>
  <si>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</si>
  <si>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</si>
  <si>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</si>
  <si>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</si>
  <si>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</si>
  <si>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</si>
  <si>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</si>
  <si>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</si>
  <si>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</si>
  <si>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</si>
  <si>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</si>
  <si>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</si>
  <si>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</si>
  <si>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</si>
  <si>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</si>
  <si>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</si>
  <si>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</si>
  <si>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</si>
  <si>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</si>
  <si>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</si>
  <si>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</si>
  <si>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</si>
  <si>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</si>
  <si>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</si>
  <si>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</si>
  <si>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</si>
  <si>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</si>
  <si>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</si>
  <si>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</si>
  <si>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</si>
  <si>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</si>
  <si>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</si>
  <si>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</si>
  <si>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</si>
  <si>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</si>
  <si>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</si>
  <si>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</si>
  <si>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</si>
  <si>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</si>
  <si>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</si>
  <si>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</si>
  <si>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</si>
  <si>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</si>
  <si>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</si>
  <si>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</si>
  <si>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</si>
  <si>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</si>
  <si>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</si>
  <si>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</si>
  <si>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</si>
  <si>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</si>
  <si>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</si>
  <si>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</si>
  <si>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</si>
  <si>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</si>
  <si>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</si>
  <si>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</si>
  <si>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</si>
  <si>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</si>
  <si>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</si>
  <si>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</si>
  <si>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</si>
  <si>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</si>
  <si>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</si>
  <si>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</si>
  <si>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</si>
  <si>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</si>
  <si>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</si>
  <si>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</si>
  <si>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</si>
  <si>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</si>
  <si>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</si>
  <si>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</si>
  <si>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</si>
  <si>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</si>
  <si>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</si>
  <si>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</si>
  <si>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</si>
  <si>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</si>
  <si>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</si>
  <si>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</si>
  <si>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</si>
  <si>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</si>
  <si>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</si>
  <si>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</si>
  <si>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</si>
  <si>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</si>
  <si>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</si>
  <si>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</si>
  <si>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</si>
  <si>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</si>
  <si>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</si>
  <si>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</si>
  <si>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</si>
  <si>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</si>
  <si>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</si>
  <si>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</si>
  <si>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</si>
  <si>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</si>
  <si>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</si>
  <si>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</si>
  <si>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</si>
  <si>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</si>
  <si>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</si>
  <si>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</si>
  <si>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</si>
  <si>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</si>
  <si>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</si>
  <si>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</si>
  <si>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</si>
  <si>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</si>
  <si>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</si>
  <si>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</si>
  <si>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</si>
  <si>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</si>
  <si>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</si>
  <si>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</si>
  <si>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</si>
  <si>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</si>
  <si>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</si>
  <si>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</si>
  <si>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</si>
  <si>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</si>
  <si>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</si>
  <si>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</si>
  <si>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</si>
  <si>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</si>
  <si>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</si>
  <si>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</si>
  <si>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</si>
  <si>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</si>
  <si>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</si>
  <si>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</si>
  <si>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</si>
  <si>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</si>
  <si>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</si>
  <si>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</si>
  <si>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</si>
  <si>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</si>
  <si>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</si>
  <si>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</si>
  <si>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</si>
  <si>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</si>
  <si>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</si>
  <si>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</si>
  <si>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</si>
  <si>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</si>
  <si>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</si>
  <si>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</si>
  <si>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</si>
  <si>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</si>
  <si>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</si>
  <si>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</si>
  <si>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</si>
  <si>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</si>
  <si>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</si>
  <si>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</si>
  <si>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</si>
  <si>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</si>
  <si>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</si>
  <si>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</si>
  <si>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</si>
  <si>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</si>
  <si>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</si>
  <si>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</si>
  <si>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</si>
  <si>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</si>
  <si>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</si>
  <si>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</si>
  <si>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</si>
  <si>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</si>
  <si>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</si>
  <si>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</si>
  <si>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</si>
  <si>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</si>
  <si>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</si>
  <si>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</si>
  <si>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</si>
  <si>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</si>
  <si>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</si>
  <si>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</si>
  <si>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</si>
  <si>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</si>
  <si>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</si>
  <si>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</si>
  <si>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</si>
  <si>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</si>
  <si>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</si>
  <si>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</si>
  <si>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</si>
  <si>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</si>
  <si>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</si>
  <si>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</si>
  <si>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</si>
  <si>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</si>
  <si>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</si>
  <si>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</si>
  <si>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</si>
  <si>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</si>
  <si>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</si>
  <si>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</si>
  <si>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</si>
  <si>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</si>
  <si>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</si>
  <si>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</si>
  <si>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</si>
  <si>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</si>
  <si>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</si>
  <si>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</si>
  <si>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</si>
  <si>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</si>
  <si>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</si>
  <si>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</si>
  <si>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</si>
  <si>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</si>
  <si>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</si>
  <si>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</si>
  <si>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</si>
  <si>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</si>
  <si>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</si>
  <si>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</si>
  <si>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</si>
  <si>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</si>
  <si>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</si>
  <si>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</si>
  <si>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</si>
  <si>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</si>
  <si>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</si>
  <si>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</si>
  <si>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</si>
  <si>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</si>
  <si>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</si>
  <si>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</si>
  <si>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</si>
  <si>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</si>
  <si>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</si>
  <si>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</si>
  <si>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</si>
  <si>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</si>
  <si>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</si>
  <si>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</si>
  <si>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</si>
  <si>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</si>
  <si>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</si>
  <si>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</si>
  <si>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</si>
  <si>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</si>
  <si>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</si>
  <si>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</si>
  <si>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</si>
  <si>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</si>
  <si>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</si>
  <si>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</si>
  <si>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</si>
  <si>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</si>
  <si>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</si>
  <si>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</si>
  <si>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</si>
  <si>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</si>
  <si>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</si>
  <si>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</si>
  <si>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</si>
  <si>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</si>
  <si>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</si>
  <si>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</si>
  <si>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</si>
  <si>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</si>
  <si>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</si>
  <si>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</si>
  <si>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</si>
  <si>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</si>
  <si>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</si>
  <si>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</si>
  <si>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</si>
  <si>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</si>
  <si>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</si>
  <si>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</si>
  <si>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</si>
  <si>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</si>
  <si>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</si>
  <si>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</si>
  <si>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</si>
  <si>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</si>
  <si>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</si>
  <si>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</si>
  <si>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</si>
  <si>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</si>
  <si>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</si>
  <si>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</si>
  <si>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</si>
  <si>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</si>
  <si>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</si>
  <si>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</si>
  <si>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</si>
  <si>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</si>
  <si>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</si>
  <si>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</si>
  <si>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</si>
  <si>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</si>
  <si>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</si>
  <si>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</si>
  <si>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</si>
  <si>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</si>
  <si>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</si>
  <si>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</si>
  <si>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</si>
  <si>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</si>
  <si>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</si>
  <si>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</si>
  <si>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</si>
  <si>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</si>
  <si>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</si>
  <si>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</si>
  <si>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</si>
  <si>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</si>
  <si>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</si>
  <si>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</si>
  <si>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</si>
  <si>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</si>
  <si>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</si>
  <si>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</si>
  <si>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</si>
  <si>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</si>
  <si>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</si>
  <si>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</si>
  <si>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</si>
  <si>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</si>
  <si>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</si>
  <si>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</si>
  <si>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</si>
  <si>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</si>
  <si>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</si>
  <si>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</si>
  <si>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</si>
  <si>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</si>
  <si>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</si>
  <si>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</si>
  <si>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</si>
  <si>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</si>
  <si>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</si>
  <si>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</si>
  <si>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</si>
  <si>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</si>
  <si>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</si>
  <si>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</si>
  <si>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</si>
  <si>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</si>
  <si>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</si>
  <si>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</si>
  <si>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</si>
  <si>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</si>
  <si>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</si>
  <si>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</si>
  <si>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</si>
  <si>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</si>
  <si>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</si>
  <si>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</si>
  <si>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</si>
  <si>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</si>
  <si>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</si>
  <si>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</si>
  <si>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</si>
  <si>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</si>
  <si>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</si>
  <si>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</si>
  <si>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</si>
  <si>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</si>
  <si>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</si>
  <si>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</si>
  <si>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</si>
  <si>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</si>
  <si>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</si>
  <si>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</si>
  <si>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</si>
  <si>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</si>
  <si>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</si>
  <si>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</si>
  <si>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</si>
  <si>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</si>
  <si>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</si>
  <si>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</si>
  <si>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</si>
  <si>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</si>
  <si>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</si>
  <si>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</si>
  <si>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</si>
  <si>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</si>
  <si>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</si>
  <si>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</si>
  <si>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</si>
  <si>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</si>
  <si>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</si>
  <si>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</si>
  <si>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</si>
  <si>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</si>
  <si>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</si>
  <si>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</si>
  <si>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</si>
  <si>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</si>
  <si>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</si>
  <si>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</si>
  <si>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</si>
  <si>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</si>
  <si>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</si>
  <si>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</si>
  <si>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</si>
  <si>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</si>
  <si>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</si>
  <si>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</si>
  <si>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</si>
  <si>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</si>
  <si>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</si>
  <si>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</si>
  <si>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</si>
  <si>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</si>
  <si>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</si>
  <si>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</si>
  <si>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</si>
  <si>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</si>
  <si>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</si>
  <si>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</si>
  <si>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</si>
  <si>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</si>
  <si>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</si>
  <si>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</si>
  <si>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</si>
  <si>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</si>
  <si>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</si>
  <si>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</si>
  <si>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</si>
  <si>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</si>
  <si>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</si>
  <si>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</si>
  <si>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</si>
  <si>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</si>
  <si>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</si>
  <si>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</si>
  <si>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</si>
  <si>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</si>
  <si>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</si>
  <si>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</si>
  <si>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</si>
  <si>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</si>
  <si>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</si>
  <si>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</si>
  <si>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</si>
  <si>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</si>
  <si>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</si>
  <si>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</si>
  <si>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</si>
  <si>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</si>
  <si>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</si>
  <si>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</si>
  <si>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</si>
  <si>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</si>
  <si>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</si>
  <si>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</si>
  <si>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</si>
  <si>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</si>
  <si>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</si>
  <si>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</si>
  <si>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</si>
  <si>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</si>
  <si>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</si>
  <si>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</si>
  <si>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</si>
  <si>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</si>
  <si>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</si>
  <si>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</si>
  <si>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</si>
  <si>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</si>
  <si>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</si>
  <si>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</si>
  <si>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</si>
  <si>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</si>
  <si>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</si>
  <si>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</si>
  <si>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</si>
  <si>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</si>
  <si>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</si>
  <si>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</si>
  <si>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</si>
  <si>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</si>
  <si>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</si>
  <si>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</si>
  <si>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</si>
  <si>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</si>
  <si>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</si>
  <si>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</si>
  <si>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</si>
  <si>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</si>
  <si>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</si>
  <si>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</si>
  <si>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</si>
  <si>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</si>
  <si>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</si>
  <si>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</si>
  <si>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</si>
  <si>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</si>
  <si>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</si>
  <si>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</si>
  <si>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</si>
  <si>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</si>
  <si>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</si>
  <si>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</si>
  <si>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</si>
  <si>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</si>
  <si>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</si>
  <si>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</si>
  <si>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</si>
  <si>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</si>
  <si>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</si>
  <si>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</si>
  <si>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</si>
  <si>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</si>
  <si>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</si>
  <si>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</si>
  <si>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</si>
  <si>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</si>
  <si>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</si>
  <si>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</si>
  <si>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</si>
  <si>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</si>
  <si>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</si>
  <si>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</si>
  <si>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</si>
  <si>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</si>
  <si>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</si>
  <si>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</si>
  <si>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</si>
  <si>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</si>
  <si>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</si>
  <si>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</si>
  <si>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</si>
  <si>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</si>
  <si>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</si>
  <si>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</si>
  <si>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</si>
  <si>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</si>
  <si>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</si>
  <si>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</si>
  <si>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</si>
  <si>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</si>
  <si>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</si>
  <si>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</si>
  <si>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</si>
  <si>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</si>
  <si>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</si>
  <si>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</si>
  <si>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</si>
  <si>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</si>
  <si>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</si>
  <si>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</si>
  <si>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</si>
  <si>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</si>
  <si>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</si>
  <si>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</si>
  <si>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</si>
  <si>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</si>
  <si>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</si>
  <si>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</si>
  <si>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</si>
  <si>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</si>
  <si>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</si>
  <si>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</si>
  <si>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</si>
  <si>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</si>
  <si>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</si>
  <si>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</si>
  <si>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</si>
  <si>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</si>
  <si>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</si>
  <si>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</si>
  <si>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</si>
  <si>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</si>
  <si>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</si>
  <si>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</si>
  <si>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</si>
  <si>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</si>
  <si>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</si>
  <si>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</si>
  <si>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</si>
  <si>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</si>
  <si>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</si>
  <si>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</si>
  <si>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</si>
  <si>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</si>
  <si>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</si>
  <si>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</si>
  <si>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</si>
  <si>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</si>
  <si>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</si>
  <si>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</si>
  <si>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</si>
  <si>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</si>
  <si>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</si>
  <si>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</si>
  <si>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</si>
  <si>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</si>
  <si>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</si>
  <si>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</si>
  <si>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</si>
  <si>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</si>
  <si>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</si>
  <si>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</si>
  <si>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</si>
  <si>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</si>
  <si>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</si>
  <si>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</si>
  <si>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</si>
  <si>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</si>
  <si>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</si>
  <si>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</si>
  <si>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</si>
  <si>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</si>
  <si>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</si>
  <si>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</si>
  <si>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</si>
  <si>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</si>
  <si>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</si>
  <si>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</si>
  <si>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</si>
  <si>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</si>
  <si>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</si>
  <si>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</si>
  <si>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</si>
  <si>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</si>
  <si>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</si>
  <si>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</si>
  <si>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</si>
  <si>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</si>
  <si>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</si>
  <si>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</si>
  <si>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</si>
  <si>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</si>
  <si>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</si>
  <si>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</si>
  <si>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</si>
  <si>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</si>
  <si>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</si>
  <si>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</si>
  <si>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</si>
  <si>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</si>
  <si>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</si>
  <si>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</si>
  <si>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</si>
  <si>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</si>
  <si>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</si>
  <si>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</si>
  <si>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</si>
  <si>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</si>
  <si>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</si>
  <si>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</si>
  <si>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</si>
  <si>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</si>
  <si>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</si>
  <si>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</si>
  <si>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</si>
  <si>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</si>
  <si>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</si>
  <si>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</si>
  <si>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</si>
  <si>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</si>
  <si>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</si>
  <si>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</si>
  <si>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</si>
  <si>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</si>
  <si>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</si>
  <si>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</si>
  <si>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</si>
  <si>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</si>
  <si>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</si>
  <si>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</si>
  <si>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</si>
  <si>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</si>
  <si>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</si>
  <si>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</si>
  <si>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</si>
  <si>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</si>
  <si>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</si>
  <si>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</si>
  <si>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</si>
  <si>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</si>
  <si>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</si>
  <si>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</si>
  <si>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</si>
  <si>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</si>
  <si>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</si>
  <si>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</si>
  <si>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</si>
  <si>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</si>
  <si>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</si>
  <si>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</si>
  <si>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</si>
  <si>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</si>
  <si>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</si>
  <si>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</si>
  <si>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</si>
  <si>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</si>
  <si>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</si>
  <si>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</si>
  <si>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</si>
  <si>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</si>
  <si>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</si>
  <si>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</si>
  <si>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</si>
  <si>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</si>
  <si>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</si>
  <si>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</si>
  <si>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</si>
  <si>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</si>
  <si>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</si>
  <si>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</si>
  <si>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</si>
  <si>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</si>
  <si>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</si>
  <si>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</si>
  <si>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</si>
  <si>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</si>
  <si>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</si>
  <si>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VIVIENDA DE SAN MIGUEL DE ALLENDE, GTO.</t>
  </si>
  <si>
    <t>Al 31 de diciembre de 2017 y al 30 de junio de 2018 (b)</t>
  </si>
  <si>
    <t>Del 1 de enero al 30 de junio de 2018 (b)</t>
  </si>
  <si>
    <t>a) APP 1   NO APLICA</t>
  </si>
  <si>
    <t>b) APP 2  NO APLICA</t>
  </si>
  <si>
    <t>c) APP 3   NO APLICA</t>
  </si>
  <si>
    <t>d) APP XX NO APLICA</t>
  </si>
  <si>
    <t>a) Otro Instrumento 1 NO APLICA</t>
  </si>
  <si>
    <t>b) Otro Instrumento 2 NO APLICA</t>
  </si>
  <si>
    <t>c) Otro Instrumento 3 NO APLICA</t>
  </si>
  <si>
    <t>d) Otro Instrumento XX 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</si>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</sst>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821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152" t="s">
        <v>3294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58" sqref="B5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5"/>
    </row>
    <row r="3" spans="1:11" ht="14.25" x14ac:dyDescent="0.45">
      <c r="A3" s="156" t="s">
        <v>158</v>
      </c>
      <c r="B3" s="157"/>
      <c r="C3" s="157"/>
      <c r="D3" s="158"/>
    </row>
    <row r="4" spans="1:11" ht="14.25" x14ac:dyDescent="0.45">
      <c r="A4" s="159" t="str">
        <f>TRIMESTRE</f>
        <v>Del 1 de enero al 30 de junio de 2018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173</v>
      </c>
      <c r="C7" s="45" t="s">
        <v>159</v>
      </c>
      <c r="D7" s="45" t="s">
        <v>174</v>
      </c>
    </row>
    <row r="8" spans="1:11" ht="14.25" x14ac:dyDescent="0.45">
      <c r="A8" s="55" t="s">
        <v>160</v>
      </c>
      <c r="B8" s="40">
        <f>SUM(B9:B11)</f>
        <v>28000266.060000002</v>
      </c>
      <c r="C8" s="40">
        <f t="shared" ref="C8:D8" si="0">SUM(C9:C11)</f>
        <v>1647791.2499999998</v>
      </c>
      <c r="D8" s="40">
        <f t="shared" si="0"/>
        <v>1647791.2499999998</v>
      </c>
    </row>
    <row r="9" spans="1:11" x14ac:dyDescent="0.25">
      <c r="A9" s="53" t="s">
        <v>161</v>
      </c>
      <c r="B9" s="23">
        <v>10746081.060000002</v>
      </c>
      <c r="C9" s="23">
        <v>1647791.2499999998</v>
      </c>
      <c r="D9" s="23">
        <v>1647791.2499999998</v>
      </c>
    </row>
    <row r="10" spans="1:11" x14ac:dyDescent="0.25">
      <c r="A10" s="53" t="s">
        <v>162</v>
      </c>
      <c r="B10" s="23">
        <v>17254185</v>
      </c>
      <c r="C10" s="23">
        <v>0</v>
      </c>
      <c r="D10" s="23">
        <v>0</v>
      </c>
    </row>
    <row r="11" spans="1:11" ht="14.25" x14ac:dyDescent="0.45">
      <c r="A11" s="53" t="s">
        <v>163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172</v>
      </c>
      <c r="B13" s="40">
        <f>B14+B15</f>
        <v>28000266.060000002</v>
      </c>
      <c r="C13" s="40">
        <f t="shared" ref="C13:D13" si="2">C14+C15</f>
        <v>3197365.73</v>
      </c>
      <c r="D13" s="40">
        <f t="shared" si="2"/>
        <v>3196800.82</v>
      </c>
    </row>
    <row r="14" spans="1:11" x14ac:dyDescent="0.25">
      <c r="A14" s="53" t="s">
        <v>164</v>
      </c>
      <c r="B14" s="23">
        <v>10746081.060000001</v>
      </c>
      <c r="C14" s="23">
        <v>3197365.73</v>
      </c>
      <c r="D14" s="23">
        <v>3196800.82</v>
      </c>
    </row>
    <row r="15" spans="1:11" x14ac:dyDescent="0.25">
      <c r="A15" s="53" t="s">
        <v>165</v>
      </c>
      <c r="B15" s="23">
        <v>17254185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166</v>
      </c>
      <c r="B17" s="118">
        <f>B18+B19</f>
        <v>0</v>
      </c>
      <c r="C17" s="40">
        <f t="shared" ref="C17" si="3">C18+C19</f>
        <v>1868396.01</v>
      </c>
      <c r="D17" s="40">
        <f>D18+D19</f>
        <v>1868396.01</v>
      </c>
    </row>
    <row r="18" spans="1:4" x14ac:dyDescent="0.25">
      <c r="A18" s="53" t="s">
        <v>167</v>
      </c>
      <c r="B18" s="119">
        <v>0</v>
      </c>
      <c r="C18" s="23">
        <v>1868396.01</v>
      </c>
      <c r="D18" s="23">
        <v>1868396.01</v>
      </c>
    </row>
    <row r="19" spans="1:4" ht="14.25" x14ac:dyDescent="0.45">
      <c r="A19" s="53" t="s">
        <v>168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169</v>
      </c>
      <c r="B21" s="40">
        <f>B8-B13+B17</f>
        <v>0</v>
      </c>
      <c r="C21" s="40">
        <f t="shared" ref="C21:D21" si="4">C8-C13+C17</f>
        <v>318821.5299999998</v>
      </c>
      <c r="D21" s="40">
        <f t="shared" si="4"/>
        <v>319386.43999999994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170</v>
      </c>
      <c r="B23" s="40">
        <f>B21-B11</f>
        <v>0</v>
      </c>
      <c r="C23" s="40">
        <f t="shared" ref="C23:D23" si="5">C21-C11</f>
        <v>318821.5299999998</v>
      </c>
      <c r="D23" s="40">
        <f t="shared" si="5"/>
        <v>319386.43999999994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171</v>
      </c>
      <c r="B25" s="40">
        <f>B23-B17</f>
        <v>0</v>
      </c>
      <c r="C25" s="40">
        <f t="shared" ref="C25" si="6">C23-C17</f>
        <v>-1549574.4800000002</v>
      </c>
      <c r="D25" s="40">
        <f>D23-D17</f>
        <v>-1549009.57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175</v>
      </c>
      <c r="B28" s="45" t="s">
        <v>176</v>
      </c>
      <c r="C28" s="45" t="s">
        <v>159</v>
      </c>
      <c r="D28" s="45" t="s">
        <v>177</v>
      </c>
    </row>
    <row r="29" spans="1:4" ht="14.25" x14ac:dyDescent="0.45">
      <c r="A29" s="55" t="s">
        <v>178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179</v>
      </c>
      <c r="B30" s="60">
        <v>0</v>
      </c>
      <c r="C30" s="60">
        <v>0</v>
      </c>
      <c r="D30" s="60">
        <v>0</v>
      </c>
    </row>
    <row r="31" spans="1:4" ht="14.25" x14ac:dyDescent="0.45">
      <c r="A31" s="53" t="s">
        <v>180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181</v>
      </c>
      <c r="B33" s="61">
        <f>B25+B29</f>
        <v>0</v>
      </c>
      <c r="C33" s="61">
        <f t="shared" ref="C33:D33" si="8">C25+C29</f>
        <v>-1549574.4800000002</v>
      </c>
      <c r="D33" s="61">
        <f t="shared" si="8"/>
        <v>-1549009.57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175</v>
      </c>
      <c r="B36" s="45" t="s">
        <v>182</v>
      </c>
      <c r="C36" s="45" t="s">
        <v>159</v>
      </c>
      <c r="D36" s="45" t="s">
        <v>174</v>
      </c>
    </row>
    <row r="37" spans="1:4" x14ac:dyDescent="0.25">
      <c r="A37" s="55" t="s">
        <v>183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184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185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186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187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188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189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175</v>
      </c>
      <c r="B47" s="45" t="s">
        <v>182</v>
      </c>
      <c r="C47" s="45" t="s">
        <v>159</v>
      </c>
      <c r="D47" s="45" t="s">
        <v>174</v>
      </c>
    </row>
    <row r="48" spans="1:4" x14ac:dyDescent="0.25">
      <c r="A48" s="126" t="s">
        <v>190</v>
      </c>
      <c r="B48" s="124">
        <f>B9</f>
        <v>10746081.060000002</v>
      </c>
      <c r="C48" s="124">
        <f>C9</f>
        <v>1647791.2499999998</v>
      </c>
      <c r="D48" s="124">
        <f t="shared" ref="D48" si="12">D9</f>
        <v>1647791.2499999998</v>
      </c>
    </row>
    <row r="49" spans="1:4" x14ac:dyDescent="0.25">
      <c r="A49" s="127" t="s">
        <v>191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184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187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164</v>
      </c>
      <c r="B53" s="60">
        <f>B14</f>
        <v>10746081.060000001</v>
      </c>
      <c r="C53" s="60">
        <f t="shared" ref="C53:D53" si="14">C14</f>
        <v>3197365.73</v>
      </c>
      <c r="D53" s="60">
        <f t="shared" si="14"/>
        <v>3196800.82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167</v>
      </c>
      <c r="B55" s="125">
        <f>B18</f>
        <v>0</v>
      </c>
      <c r="C55" s="60">
        <f t="shared" ref="C55:D55" si="15">C18</f>
        <v>1868396.01</v>
      </c>
      <c r="D55" s="60">
        <f t="shared" si="15"/>
        <v>1868396.01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193</v>
      </c>
      <c r="B57" s="61">
        <f>B48+B49-B53</f>
        <v>0</v>
      </c>
      <c r="C57" s="61">
        <f>C48+C49-C53+C55</f>
        <v>318821.5299999998</v>
      </c>
      <c r="D57" s="61">
        <f t="shared" ref="D57" si="16">D48+D49-D53+D55</f>
        <v>319386.43999999994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192</v>
      </c>
      <c r="B59" s="61">
        <f>B57-B49</f>
        <v>0</v>
      </c>
      <c r="C59" s="61">
        <f t="shared" ref="C59:D59" si="17">C57-C49</f>
        <v>318821.5299999998</v>
      </c>
      <c r="D59" s="61">
        <f t="shared" si="17"/>
        <v>319386.43999999994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175</v>
      </c>
      <c r="B62" s="45" t="s">
        <v>182</v>
      </c>
      <c r="C62" s="45" t="s">
        <v>159</v>
      </c>
      <c r="D62" s="45" t="s">
        <v>174</v>
      </c>
    </row>
    <row r="63" spans="1:4" x14ac:dyDescent="0.25">
      <c r="A63" s="126" t="s">
        <v>162</v>
      </c>
      <c r="B63" s="122">
        <f>B10</f>
        <v>17254185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194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185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188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195</v>
      </c>
      <c r="B68" s="23">
        <f>B15</f>
        <v>17254185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168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197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196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28000266.060000002</v>
      </c>
      <c r="Q2" s="18">
        <f>'Formato 4'!C8</f>
        <v>1647791.2499999998</v>
      </c>
      <c r="R2" s="18">
        <f>'Formato 4'!D8</f>
        <v>1647791.2499999998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207</v>
      </c>
      <c r="P3" s="18">
        <f>'Formato 4'!B9</f>
        <v>10746081.060000002</v>
      </c>
      <c r="Q3" s="18">
        <f>'Formato 4'!C9</f>
        <v>1647791.2499999998</v>
      </c>
      <c r="R3" s="18">
        <f>'Formato 4'!D9</f>
        <v>1647791.2499999998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17254185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28000266.060000002</v>
      </c>
      <c r="Q6" s="18">
        <f>'Formato 4'!C13</f>
        <v>3197365.73</v>
      </c>
      <c r="R6" s="18">
        <f>'Formato 4'!D13</f>
        <v>3196800.82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10746081.060000001</v>
      </c>
      <c r="Q7" s="18">
        <f>'Formato 4'!C14</f>
        <v>3197365.73</v>
      </c>
      <c r="R7" s="18">
        <f>'Formato 4'!D14</f>
        <v>3196800.82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17254185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1868396.01</v>
      </c>
      <c r="R9" s="18">
        <f>'Formato 4'!D17</f>
        <v>1868396.01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1868396.01</v>
      </c>
      <c r="R10" s="18">
        <f>'Formato 4'!D18</f>
        <v>1868396.01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318821.5299999998</v>
      </c>
      <c r="R12" s="18">
        <f>'Formato 4'!D21</f>
        <v>319386.43999999994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318821.5299999998</v>
      </c>
      <c r="R13" s="18">
        <f>'Formato 4'!D23</f>
        <v>319386.43999999994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-1549574.4800000002</v>
      </c>
      <c r="R14" s="18">
        <f>'Formato 4'!D25</f>
        <v>-1549009.57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-1549574.4800000002</v>
      </c>
      <c r="R18">
        <f>'Formato 4'!D33</f>
        <v>-1549009.57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187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188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207</v>
      </c>
      <c r="P26">
        <f>'Formato 4'!B48</f>
        <v>10746081.060000002</v>
      </c>
      <c r="Q26">
        <f>'Formato 4'!C48</f>
        <v>1647791.2499999998</v>
      </c>
      <c r="R26">
        <f>'Formato 4'!D48</f>
        <v>1647791.2499999998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10746081.060000001</v>
      </c>
      <c r="Q30">
        <f>'Formato 4'!C53</f>
        <v>3197365.73</v>
      </c>
      <c r="R30">
        <f>'Formato 4'!D53</f>
        <v>3196800.82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1868396.01</v>
      </c>
      <c r="R31">
        <f>'Formato 4'!D55</f>
        <v>1868396.01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17254185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17254185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34" zoomScale="85" zoomScaleNormal="85" workbookViewId="0">
      <selection activeCell="F17" sqref="F17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198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199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junio de 2018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206</v>
      </c>
      <c r="B6" s="170" t="s">
        <v>200</v>
      </c>
      <c r="C6" s="170"/>
      <c r="D6" s="170"/>
      <c r="E6" s="170"/>
      <c r="F6" s="170"/>
      <c r="G6" s="170" t="s">
        <v>201</v>
      </c>
    </row>
    <row r="7" spans="1:8" ht="30" x14ac:dyDescent="0.25">
      <c r="A7" s="169"/>
      <c r="B7" s="46" t="s">
        <v>202</v>
      </c>
      <c r="C7" s="45" t="s">
        <v>203</v>
      </c>
      <c r="D7" s="46" t="s">
        <v>204</v>
      </c>
      <c r="E7" s="46" t="s">
        <v>159</v>
      </c>
      <c r="F7" s="46" t="s">
        <v>205</v>
      </c>
      <c r="G7" s="170"/>
    </row>
    <row r="8" spans="1:8" x14ac:dyDescent="0.25">
      <c r="A8" s="52" t="s">
        <v>207</v>
      </c>
      <c r="B8" s="12"/>
      <c r="C8" s="12"/>
      <c r="D8" s="12"/>
      <c r="E8" s="12"/>
      <c r="F8" s="12"/>
      <c r="G8" s="12"/>
    </row>
    <row r="9" spans="1:8" x14ac:dyDescent="0.25">
      <c r="A9" s="53" t="s">
        <v>208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209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210</v>
      </c>
      <c r="B11" s="60">
        <v>1013500</v>
      </c>
      <c r="C11" s="60">
        <v>0</v>
      </c>
      <c r="D11" s="60">
        <v>1013500</v>
      </c>
      <c r="E11" s="60">
        <v>0</v>
      </c>
      <c r="F11" s="60">
        <v>0</v>
      </c>
      <c r="G11" s="60">
        <f t="shared" si="0"/>
        <v>-1013500</v>
      </c>
    </row>
    <row r="12" spans="1:8" x14ac:dyDescent="0.25">
      <c r="A12" s="53" t="s">
        <v>211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212</v>
      </c>
      <c r="B13" s="60">
        <v>875186.57</v>
      </c>
      <c r="C13" s="60">
        <v>0</v>
      </c>
      <c r="D13" s="60">
        <v>875186.57</v>
      </c>
      <c r="E13" s="60">
        <v>311148.59000000003</v>
      </c>
      <c r="F13" s="60">
        <v>311148.59000000003</v>
      </c>
      <c r="G13" s="60">
        <f t="shared" si="0"/>
        <v>-564037.98</v>
      </c>
    </row>
    <row r="14" spans="1:8" x14ac:dyDescent="0.25">
      <c r="A14" s="53" t="s">
        <v>213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214</v>
      </c>
      <c r="B15" s="60">
        <v>2351759.61</v>
      </c>
      <c r="C15" s="60">
        <v>0</v>
      </c>
      <c r="D15" s="60">
        <v>2351759.61</v>
      </c>
      <c r="E15" s="60">
        <v>536642.66</v>
      </c>
      <c r="F15" s="60">
        <v>536642.66</v>
      </c>
      <c r="G15" s="60">
        <f t="shared" si="0"/>
        <v>-1815116.9499999997</v>
      </c>
    </row>
    <row r="16" spans="1:8" ht="14.25" x14ac:dyDescent="0.45">
      <c r="A16" s="10" t="s">
        <v>267</v>
      </c>
      <c r="B16" s="60">
        <f>SUM(B17:B27)</f>
        <v>0</v>
      </c>
      <c r="C16" s="60">
        <f t="shared" ref="C16:F16" si="1">SUM(C17:C27)</f>
        <v>0</v>
      </c>
      <c r="D16" s="60">
        <f>SUM(D17:D27)</f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215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216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217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218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219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222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223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224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225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226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227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228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229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231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232</v>
      </c>
      <c r="B34" s="60">
        <v>0</v>
      </c>
      <c r="C34" s="60">
        <v>1900000</v>
      </c>
      <c r="D34" s="60">
        <v>1900000</v>
      </c>
      <c r="E34" s="60">
        <v>800000</v>
      </c>
      <c r="F34" s="60">
        <v>800000</v>
      </c>
      <c r="G34" s="60">
        <f t="shared" si="4"/>
        <v>800000</v>
      </c>
    </row>
    <row r="35" spans="1:8" ht="14.25" x14ac:dyDescent="0.45">
      <c r="A35" s="53" t="s">
        <v>233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ht="14.25" x14ac:dyDescent="0.45">
      <c r="A36" s="63" t="s">
        <v>234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235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ht="14.25" x14ac:dyDescent="0.45">
      <c r="A38" s="63" t="s">
        <v>236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237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268</v>
      </c>
      <c r="B41" s="61">
        <f>SUM(B9,B10,B11,B12,B13,B14,B15,B16,B28,B34,B35,B37)</f>
        <v>4240446.18</v>
      </c>
      <c r="C41" s="61">
        <f t="shared" ref="C41:E41" si="7">SUM(C9,C10,C11,C12,C13,C14,C15,C16,C28,C34,C35,C37)</f>
        <v>1900000</v>
      </c>
      <c r="D41" s="61">
        <f t="shared" si="7"/>
        <v>6140446.1799999997</v>
      </c>
      <c r="E41" s="61">
        <f t="shared" si="7"/>
        <v>1647791.25</v>
      </c>
      <c r="F41" s="61">
        <f>SUM(F9,F10,F11,F12,F13,F14,F15,F16,F28,F34,F35,F37)</f>
        <v>1647791.25</v>
      </c>
      <c r="G41" s="61">
        <f>SUM(G9,G10,G11,G12,G13,G14,G15,G16,G28,G34,G35,G37)</f>
        <v>-2592654.9299999997</v>
      </c>
    </row>
    <row r="42" spans="1:8" x14ac:dyDescent="0.25">
      <c r="A42" s="55" t="s">
        <v>238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239</v>
      </c>
      <c r="B44" s="54"/>
      <c r="C44" s="54"/>
      <c r="D44" s="54"/>
      <c r="E44" s="54"/>
      <c r="F44" s="54"/>
      <c r="G44" s="54"/>
    </row>
    <row r="45" spans="1:8" x14ac:dyDescent="0.25">
      <c r="A45" s="53" t="s">
        <v>240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241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242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243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244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245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246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247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248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249</v>
      </c>
      <c r="B54" s="60">
        <f>SUM(B55:B58)</f>
        <v>17254185</v>
      </c>
      <c r="C54" s="60">
        <f t="shared" ref="C54:G54" si="10">SUM(C55:C58)</f>
        <v>0</v>
      </c>
      <c r="D54" s="60">
        <f t="shared" si="10"/>
        <v>17254185</v>
      </c>
      <c r="E54" s="60">
        <f t="shared" si="10"/>
        <v>0</v>
      </c>
      <c r="F54" s="60">
        <f t="shared" si="10"/>
        <v>0</v>
      </c>
      <c r="G54" s="60">
        <f t="shared" si="10"/>
        <v>-17254185</v>
      </c>
    </row>
    <row r="55" spans="1:7" x14ac:dyDescent="0.25">
      <c r="A55" s="48" t="s">
        <v>250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251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252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253</v>
      </c>
      <c r="B58" s="60">
        <v>17254185</v>
      </c>
      <c r="C58" s="60">
        <v>0</v>
      </c>
      <c r="D58" s="60">
        <v>17254185</v>
      </c>
      <c r="E58" s="60">
        <v>0</v>
      </c>
      <c r="F58" s="60">
        <v>0</v>
      </c>
      <c r="G58" s="60">
        <f t="shared" si="11"/>
        <v>-17254185</v>
      </c>
    </row>
    <row r="59" spans="1:7" x14ac:dyDescent="0.25">
      <c r="A59" s="53" t="s">
        <v>254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255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256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257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258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259</v>
      </c>
      <c r="B65" s="61">
        <f>B45+B54+B59+B62+B63</f>
        <v>17254185</v>
      </c>
      <c r="C65" s="61">
        <f t="shared" ref="C65:G65" si="13">C45+C54+C59+C62+C63</f>
        <v>0</v>
      </c>
      <c r="D65" s="61">
        <f t="shared" si="13"/>
        <v>17254185</v>
      </c>
      <c r="E65" s="61">
        <f t="shared" si="13"/>
        <v>0</v>
      </c>
      <c r="F65" s="61">
        <f t="shared" si="13"/>
        <v>0</v>
      </c>
      <c r="G65" s="61">
        <f t="shared" si="13"/>
        <v>-17254185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260</v>
      </c>
      <c r="B67" s="61">
        <f>B68</f>
        <v>6505634.8799999999</v>
      </c>
      <c r="C67" s="61">
        <f t="shared" ref="C67:G67" si="14">C68</f>
        <v>-33144.120000000003</v>
      </c>
      <c r="D67" s="61">
        <f t="shared" si="14"/>
        <v>6472490.7599999998</v>
      </c>
      <c r="E67" s="61">
        <f t="shared" si="14"/>
        <v>1868396.01</v>
      </c>
      <c r="F67" s="61">
        <f t="shared" si="14"/>
        <v>1868396.01</v>
      </c>
      <c r="G67" s="61">
        <f t="shared" si="14"/>
        <v>-4637238.87</v>
      </c>
    </row>
    <row r="68" spans="1:7" x14ac:dyDescent="0.25">
      <c r="A68" s="53" t="s">
        <v>261</v>
      </c>
      <c r="B68" s="60">
        <v>6505634.8799999999</v>
      </c>
      <c r="C68" s="60">
        <v>-33144.120000000003</v>
      </c>
      <c r="D68" s="60">
        <v>6472490.7599999998</v>
      </c>
      <c r="E68" s="60">
        <v>1868396.01</v>
      </c>
      <c r="F68" s="60">
        <v>1868396.01</v>
      </c>
      <c r="G68" s="60">
        <f>F68-B68</f>
        <v>-4637238.87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262</v>
      </c>
      <c r="B70" s="61">
        <f>B41+B65+B67</f>
        <v>28000266.059999999</v>
      </c>
      <c r="C70" s="61">
        <f t="shared" ref="C70:G70" si="15">C41+C65+C67</f>
        <v>1866855.88</v>
      </c>
      <c r="D70" s="61">
        <f t="shared" si="15"/>
        <v>29867121.939999998</v>
      </c>
      <c r="E70" s="61">
        <f t="shared" si="15"/>
        <v>3516187.26</v>
      </c>
      <c r="F70" s="61">
        <f t="shared" si="15"/>
        <v>3516187.26</v>
      </c>
      <c r="G70" s="61">
        <f t="shared" si="15"/>
        <v>-24484078.800000001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263</v>
      </c>
      <c r="B72" s="54"/>
      <c r="C72" s="54"/>
      <c r="D72" s="54"/>
      <c r="E72" s="54"/>
      <c r="F72" s="54"/>
      <c r="G72" s="54"/>
    </row>
    <row r="73" spans="1:7" x14ac:dyDescent="0.25">
      <c r="A73" s="130" t="s">
        <v>264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265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266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207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1013500</v>
      </c>
      <c r="Q5" s="18">
        <f>'Formato 5'!C11</f>
        <v>0</v>
      </c>
      <c r="R5" s="18">
        <f>'Formato 5'!D11</f>
        <v>1013500</v>
      </c>
      <c r="S5" s="18">
        <f>'Formato 5'!E11</f>
        <v>0</v>
      </c>
      <c r="T5" s="18">
        <f>'Formato 5'!F11</f>
        <v>0</v>
      </c>
      <c r="U5" s="18">
        <f>'Formato 5'!G11</f>
        <v>-1013500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875186.57</v>
      </c>
      <c r="Q7" s="18">
        <f>'Formato 5'!C13</f>
        <v>0</v>
      </c>
      <c r="R7" s="18">
        <f>'Formato 5'!D13</f>
        <v>875186.57</v>
      </c>
      <c r="S7" s="18">
        <f>'Formato 5'!E13</f>
        <v>311148.59000000003</v>
      </c>
      <c r="T7" s="18">
        <f>'Formato 5'!F13</f>
        <v>311148.59000000003</v>
      </c>
      <c r="U7" s="18">
        <f>'Formato 5'!G13</f>
        <v>-564037.98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2351759.61</v>
      </c>
      <c r="Q9" s="18">
        <f>'Formato 5'!C15</f>
        <v>0</v>
      </c>
      <c r="R9" s="18">
        <f>'Formato 5'!D15</f>
        <v>2351759.61</v>
      </c>
      <c r="S9" s="18">
        <f>'Formato 5'!E15</f>
        <v>536642.66</v>
      </c>
      <c r="T9" s="18">
        <f>'Formato 5'!F15</f>
        <v>536642.66</v>
      </c>
      <c r="U9" s="18">
        <f>'Formato 5'!G15</f>
        <v>-1815116.9499999997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1900000</v>
      </c>
      <c r="R28" s="18">
        <f>'Formato 5'!D34</f>
        <v>1900000</v>
      </c>
      <c r="S28" s="18">
        <f>'Formato 5'!E34</f>
        <v>800000</v>
      </c>
      <c r="T28" s="18">
        <f>'Formato 5'!F34</f>
        <v>800000</v>
      </c>
      <c r="U28" s="18">
        <f>'Formato 5'!G34</f>
        <v>800000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4240446.18</v>
      </c>
      <c r="Q34">
        <f>'Formato 5'!C41</f>
        <v>1900000</v>
      </c>
      <c r="R34">
        <f>'Formato 5'!D41</f>
        <v>6140446.1799999997</v>
      </c>
      <c r="S34">
        <f>'Formato 5'!E41</f>
        <v>1647791.25</v>
      </c>
      <c r="T34">
        <f>'Formato 5'!F41</f>
        <v>1647791.25</v>
      </c>
      <c r="U34">
        <f>'Formato 5'!G41</f>
        <v>-2592654.9299999997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238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239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17254185</v>
      </c>
      <c r="Q46">
        <f>'Formato 5'!C54</f>
        <v>0</v>
      </c>
      <c r="R46">
        <f>'Formato 5'!D54</f>
        <v>17254185</v>
      </c>
      <c r="S46">
        <f>'Formato 5'!E54</f>
        <v>0</v>
      </c>
      <c r="T46">
        <f>'Formato 5'!F54</f>
        <v>0</v>
      </c>
      <c r="U46">
        <f>'Formato 5'!G54</f>
        <v>-17254185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17254185</v>
      </c>
      <c r="Q50">
        <f>'Formato 5'!C58</f>
        <v>0</v>
      </c>
      <c r="R50">
        <f>'Formato 5'!D58</f>
        <v>17254185</v>
      </c>
      <c r="S50">
        <f>'Formato 5'!E58</f>
        <v>0</v>
      </c>
      <c r="T50">
        <f>'Formato 5'!F58</f>
        <v>0</v>
      </c>
      <c r="U50">
        <f>'Formato 5'!G58</f>
        <v>-17254185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17254185</v>
      </c>
      <c r="Q56">
        <f>'Formato 5'!C65</f>
        <v>0</v>
      </c>
      <c r="R56">
        <f>'Formato 5'!D65</f>
        <v>17254185</v>
      </c>
      <c r="S56">
        <f>'Formato 5'!E65</f>
        <v>0</v>
      </c>
      <c r="T56">
        <f>'Formato 5'!F65</f>
        <v>0</v>
      </c>
      <c r="U56">
        <f>'Formato 5'!G65</f>
        <v>-17254185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6505634.8799999999</v>
      </c>
      <c r="Q57">
        <f>'Formato 5'!C67</f>
        <v>-33144.120000000003</v>
      </c>
      <c r="R57">
        <f>'Formato 5'!D67</f>
        <v>6472490.7599999998</v>
      </c>
      <c r="S57">
        <f>'Formato 5'!E67</f>
        <v>1868396.01</v>
      </c>
      <c r="T57">
        <f>'Formato 5'!F67</f>
        <v>1868396.01</v>
      </c>
      <c r="U57">
        <f>'Formato 5'!G67</f>
        <v>-4637238.87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6505634.8799999999</v>
      </c>
      <c r="Q58">
        <f>'Formato 5'!C68</f>
        <v>-33144.120000000003</v>
      </c>
      <c r="R58">
        <f>'Formato 5'!D68</f>
        <v>6472490.7599999998</v>
      </c>
      <c r="S58">
        <f>'Formato 5'!E68</f>
        <v>1868396.01</v>
      </c>
      <c r="T58">
        <f>'Formato 5'!F68</f>
        <v>1868396.01</v>
      </c>
      <c r="U58">
        <f>'Formato 5'!G68</f>
        <v>-4637238.87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263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33" zoomScale="120" zoomScaleNormal="120" zoomScalePageLayoutView="90" workbookViewId="0">
      <selection activeCell="C21" sqref="C21:C2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VIVIENDA DE SAN MIGUEL DE ALLENDE,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269</v>
      </c>
      <c r="B3" s="176"/>
      <c r="C3" s="176"/>
      <c r="D3" s="176"/>
      <c r="E3" s="176"/>
      <c r="F3" s="176"/>
      <c r="G3" s="176"/>
    </row>
    <row r="4" spans="1:7" x14ac:dyDescent="0.25">
      <c r="A4" s="176" t="s">
        <v>270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junio de 2018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271</v>
      </c>
      <c r="C7" s="173"/>
      <c r="D7" s="173"/>
      <c r="E7" s="173"/>
      <c r="F7" s="173"/>
      <c r="G7" s="174" t="s">
        <v>272</v>
      </c>
    </row>
    <row r="8" spans="1:7" ht="30" x14ac:dyDescent="0.25">
      <c r="A8" s="173"/>
      <c r="B8" s="45" t="s">
        <v>273</v>
      </c>
      <c r="C8" s="45" t="s">
        <v>274</v>
      </c>
      <c r="D8" s="45" t="s">
        <v>275</v>
      </c>
      <c r="E8" s="45" t="s">
        <v>159</v>
      </c>
      <c r="F8" s="45" t="s">
        <v>276</v>
      </c>
      <c r="G8" s="173"/>
    </row>
    <row r="9" spans="1:7" ht="14.25" x14ac:dyDescent="0.45">
      <c r="A9" s="82" t="s">
        <v>277</v>
      </c>
      <c r="B9" s="79">
        <f>SUM(B10,B18,B28,B38,B48,B58,B62,B71,B75)</f>
        <v>10746081.059999999</v>
      </c>
      <c r="C9" s="79">
        <f t="shared" ref="C9:G9" si="0">SUM(C10,C18,C28,C38,C48,C58,C62,C71,C75)</f>
        <v>1866855.88</v>
      </c>
      <c r="D9" s="79">
        <f t="shared" si="0"/>
        <v>12612936.939999999</v>
      </c>
      <c r="E9" s="79">
        <f t="shared" si="0"/>
        <v>3197365.7300000004</v>
      </c>
      <c r="F9" s="79">
        <f t="shared" si="0"/>
        <v>3196800.8200000003</v>
      </c>
      <c r="G9" s="79">
        <f t="shared" si="0"/>
        <v>9415571.2100000009</v>
      </c>
    </row>
    <row r="10" spans="1:7" ht="14.25" x14ac:dyDescent="0.45">
      <c r="A10" s="83" t="s">
        <v>278</v>
      </c>
      <c r="B10" s="80">
        <f>SUM(B11:B17)</f>
        <v>2949393.11</v>
      </c>
      <c r="C10" s="80">
        <f t="shared" ref="C10:F10" si="1">SUM(C11:C17)</f>
        <v>0</v>
      </c>
      <c r="D10" s="80">
        <v>2949393.11</v>
      </c>
      <c r="E10" s="80">
        <f t="shared" si="1"/>
        <v>1131285.7200000002</v>
      </c>
      <c r="F10" s="80">
        <f t="shared" si="1"/>
        <v>1131285.7200000002</v>
      </c>
      <c r="G10" s="80">
        <f>SUM(G11:G17)</f>
        <v>1818107.39</v>
      </c>
    </row>
    <row r="11" spans="1:7" x14ac:dyDescent="0.25">
      <c r="A11" s="84" t="s">
        <v>279</v>
      </c>
      <c r="B11" s="80">
        <v>2282531.59</v>
      </c>
      <c r="C11" s="80">
        <v>0</v>
      </c>
      <c r="D11" s="80">
        <v>2282531.59</v>
      </c>
      <c r="E11" s="80">
        <v>1069033.57</v>
      </c>
      <c r="F11" s="80">
        <v>1069033.57</v>
      </c>
      <c r="G11" s="80">
        <f>D11-E11</f>
        <v>1213498.0199999998</v>
      </c>
    </row>
    <row r="12" spans="1:7" x14ac:dyDescent="0.25">
      <c r="A12" s="84" t="s">
        <v>280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281</v>
      </c>
      <c r="B13" s="80">
        <v>287661.52</v>
      </c>
      <c r="C13" s="80">
        <v>0</v>
      </c>
      <c r="D13" s="80">
        <v>287661.52</v>
      </c>
      <c r="E13" s="80">
        <v>8143.6</v>
      </c>
      <c r="F13" s="80">
        <v>8143.6</v>
      </c>
      <c r="G13" s="80">
        <f t="shared" ref="G13:G17" si="2">D13-E13</f>
        <v>279517.92000000004</v>
      </c>
    </row>
    <row r="14" spans="1:7" x14ac:dyDescent="0.25">
      <c r="A14" s="84" t="s">
        <v>282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283</v>
      </c>
      <c r="B15" s="80">
        <v>379200</v>
      </c>
      <c r="C15" s="80">
        <v>0</v>
      </c>
      <c r="D15" s="80">
        <v>379200</v>
      </c>
      <c r="E15" s="80">
        <v>54108.55</v>
      </c>
      <c r="F15" s="80">
        <v>54108.55</v>
      </c>
      <c r="G15" s="80">
        <f t="shared" si="2"/>
        <v>325091.45</v>
      </c>
    </row>
    <row r="16" spans="1:7" x14ac:dyDescent="0.25">
      <c r="A16" s="84" t="s">
        <v>284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285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286</v>
      </c>
      <c r="B18" s="80">
        <f>SUM(B19:B27)</f>
        <v>401500</v>
      </c>
      <c r="C18" s="80">
        <f t="shared" ref="C18:F18" si="3">SUM(C19:C27)</f>
        <v>127000</v>
      </c>
      <c r="D18" s="80">
        <f t="shared" si="3"/>
        <v>528500</v>
      </c>
      <c r="E18" s="80">
        <f t="shared" si="3"/>
        <v>142995.78</v>
      </c>
      <c r="F18" s="80">
        <f t="shared" si="3"/>
        <v>142430.87</v>
      </c>
      <c r="G18" s="80">
        <f>SUM(G19:G27)</f>
        <v>385504.22000000003</v>
      </c>
    </row>
    <row r="19" spans="1:7" x14ac:dyDescent="0.25">
      <c r="A19" s="84" t="s">
        <v>287</v>
      </c>
      <c r="B19" s="80">
        <v>79500</v>
      </c>
      <c r="C19" s="80">
        <v>0</v>
      </c>
      <c r="D19" s="80">
        <v>79500</v>
      </c>
      <c r="E19" s="80">
        <v>32282.560000000001</v>
      </c>
      <c r="F19" s="80">
        <v>32282.560000000001</v>
      </c>
      <c r="G19" s="80">
        <f>D19-E19</f>
        <v>47217.440000000002</v>
      </c>
    </row>
    <row r="20" spans="1:7" x14ac:dyDescent="0.25">
      <c r="A20" s="84" t="s">
        <v>288</v>
      </c>
      <c r="B20" s="80">
        <v>11000</v>
      </c>
      <c r="C20" s="80">
        <v>0</v>
      </c>
      <c r="D20" s="80">
        <v>11000</v>
      </c>
      <c r="E20" s="80">
        <v>2507.9899999999998</v>
      </c>
      <c r="F20" s="80">
        <v>2507.9899999999998</v>
      </c>
      <c r="G20" s="80">
        <f t="shared" ref="G20:G27" si="4">D20-E20</f>
        <v>8492.01</v>
      </c>
    </row>
    <row r="21" spans="1:7" x14ac:dyDescent="0.25">
      <c r="A21" s="84" t="s">
        <v>289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290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291</v>
      </c>
      <c r="B23" s="80">
        <v>160000</v>
      </c>
      <c r="C23" s="80">
        <v>100000</v>
      </c>
      <c r="D23" s="80">
        <v>260000</v>
      </c>
      <c r="E23" s="80">
        <v>72068.56</v>
      </c>
      <c r="F23" s="80">
        <v>72068.56</v>
      </c>
      <c r="G23" s="80">
        <f t="shared" si="4"/>
        <v>187931.44</v>
      </c>
    </row>
    <row r="24" spans="1:7" x14ac:dyDescent="0.25">
      <c r="A24" s="84" t="s">
        <v>292</v>
      </c>
      <c r="B24" s="80">
        <v>114000</v>
      </c>
      <c r="C24" s="80">
        <v>27000</v>
      </c>
      <c r="D24" s="80">
        <v>141000</v>
      </c>
      <c r="E24" s="80">
        <v>32587.57</v>
      </c>
      <c r="F24" s="80">
        <v>32022.66</v>
      </c>
      <c r="G24" s="80">
        <f t="shared" si="4"/>
        <v>108412.43</v>
      </c>
    </row>
    <row r="25" spans="1:7" x14ac:dyDescent="0.25">
      <c r="A25" s="84" t="s">
        <v>293</v>
      </c>
      <c r="B25" s="80">
        <v>15000</v>
      </c>
      <c r="C25" s="80">
        <v>0</v>
      </c>
      <c r="D25" s="80">
        <v>15000</v>
      </c>
      <c r="E25" s="80">
        <v>1113.5999999999999</v>
      </c>
      <c r="F25" s="80">
        <v>1113.5999999999999</v>
      </c>
      <c r="G25" s="80">
        <f t="shared" si="4"/>
        <v>13886.4</v>
      </c>
    </row>
    <row r="26" spans="1:7" x14ac:dyDescent="0.25">
      <c r="A26" s="84" t="s">
        <v>294</v>
      </c>
      <c r="B26" s="80">
        <v>0</v>
      </c>
      <c r="C26" s="80"/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295</v>
      </c>
      <c r="B27" s="80">
        <v>22000</v>
      </c>
      <c r="C27" s="80">
        <v>0</v>
      </c>
      <c r="D27" s="80">
        <v>22000</v>
      </c>
      <c r="E27" s="80">
        <v>2435.5</v>
      </c>
      <c r="F27" s="80">
        <v>2435.5</v>
      </c>
      <c r="G27" s="80">
        <f t="shared" si="4"/>
        <v>19564.5</v>
      </c>
    </row>
    <row r="28" spans="1:7" x14ac:dyDescent="0.25">
      <c r="A28" s="83" t="s">
        <v>296</v>
      </c>
      <c r="B28" s="80">
        <f>SUM(B29:B37)</f>
        <v>1318876.57</v>
      </c>
      <c r="C28" s="80">
        <f t="shared" ref="C28:G28" si="5">SUM(C29:C37)</f>
        <v>1973000</v>
      </c>
      <c r="D28" s="80">
        <f t="shared" si="5"/>
        <v>3291876.57</v>
      </c>
      <c r="E28" s="80">
        <f t="shared" si="5"/>
        <v>1253966.03</v>
      </c>
      <c r="F28" s="80">
        <f t="shared" si="5"/>
        <v>1253966.03</v>
      </c>
      <c r="G28" s="80">
        <f t="shared" si="5"/>
        <v>2037910.54</v>
      </c>
    </row>
    <row r="29" spans="1:7" x14ac:dyDescent="0.25">
      <c r="A29" s="84" t="s">
        <v>297</v>
      </c>
      <c r="B29" s="80">
        <v>65500</v>
      </c>
      <c r="C29" s="80">
        <v>0</v>
      </c>
      <c r="D29" s="80">
        <v>65500</v>
      </c>
      <c r="E29" s="80">
        <v>16356</v>
      </c>
      <c r="F29" s="80">
        <v>16356</v>
      </c>
      <c r="G29" s="80">
        <f>D29-E29</f>
        <v>49144</v>
      </c>
    </row>
    <row r="30" spans="1:7" x14ac:dyDescent="0.25">
      <c r="A30" s="84" t="s">
        <v>298</v>
      </c>
      <c r="B30" s="80">
        <v>78000</v>
      </c>
      <c r="C30" s="80">
        <v>0</v>
      </c>
      <c r="D30" s="80">
        <v>78000</v>
      </c>
      <c r="E30" s="80">
        <v>21624.720000000001</v>
      </c>
      <c r="F30" s="80">
        <v>21624.720000000001</v>
      </c>
      <c r="G30" s="80">
        <f t="shared" ref="G30:G37" si="6">D30-E30</f>
        <v>56375.28</v>
      </c>
    </row>
    <row r="31" spans="1:7" x14ac:dyDescent="0.25">
      <c r="A31" s="84" t="s">
        <v>299</v>
      </c>
      <c r="B31" s="80">
        <v>509000</v>
      </c>
      <c r="C31" s="80">
        <v>1975000</v>
      </c>
      <c r="D31" s="80">
        <v>2484000</v>
      </c>
      <c r="E31" s="80">
        <v>1018630.03</v>
      </c>
      <c r="F31" s="80">
        <v>1018630.03</v>
      </c>
      <c r="G31" s="80">
        <f t="shared" si="6"/>
        <v>1465369.97</v>
      </c>
    </row>
    <row r="32" spans="1:7" x14ac:dyDescent="0.25">
      <c r="A32" s="84" t="s">
        <v>300</v>
      </c>
      <c r="B32" s="80">
        <v>174400</v>
      </c>
      <c r="C32" s="80">
        <v>-10000</v>
      </c>
      <c r="D32" s="80">
        <v>164400</v>
      </c>
      <c r="E32" s="80">
        <v>41714.47</v>
      </c>
      <c r="F32" s="80">
        <v>41714.47</v>
      </c>
      <c r="G32" s="80">
        <f t="shared" si="6"/>
        <v>122685.53</v>
      </c>
    </row>
    <row r="33" spans="1:7" x14ac:dyDescent="0.25">
      <c r="A33" s="84" t="s">
        <v>301</v>
      </c>
      <c r="B33" s="80">
        <v>240576</v>
      </c>
      <c r="C33" s="80">
        <v>25000</v>
      </c>
      <c r="D33" s="80">
        <v>265576</v>
      </c>
      <c r="E33" s="80">
        <v>92478.65</v>
      </c>
      <c r="F33" s="80">
        <v>92478.65</v>
      </c>
      <c r="G33" s="80">
        <f t="shared" si="6"/>
        <v>173097.35</v>
      </c>
    </row>
    <row r="34" spans="1:7" x14ac:dyDescent="0.25">
      <c r="A34" s="84" t="s">
        <v>302</v>
      </c>
      <c r="B34" s="80">
        <v>50000</v>
      </c>
      <c r="C34" s="80">
        <v>-27000</v>
      </c>
      <c r="D34" s="80">
        <v>23000</v>
      </c>
      <c r="E34" s="80">
        <v>1624</v>
      </c>
      <c r="F34" s="80">
        <v>1624</v>
      </c>
      <c r="G34" s="80">
        <f t="shared" si="6"/>
        <v>21376</v>
      </c>
    </row>
    <row r="35" spans="1:7" x14ac:dyDescent="0.25">
      <c r="A35" s="84" t="s">
        <v>303</v>
      </c>
      <c r="B35" s="80">
        <v>20000</v>
      </c>
      <c r="C35" s="80">
        <v>0</v>
      </c>
      <c r="D35" s="80">
        <v>20000</v>
      </c>
      <c r="E35" s="80">
        <v>0</v>
      </c>
      <c r="F35" s="80">
        <v>0</v>
      </c>
      <c r="G35" s="80">
        <f t="shared" si="6"/>
        <v>20000</v>
      </c>
    </row>
    <row r="36" spans="1:7" x14ac:dyDescent="0.25">
      <c r="A36" s="84" t="s">
        <v>304</v>
      </c>
      <c r="B36" s="80">
        <v>65000</v>
      </c>
      <c r="C36" s="80">
        <v>10000</v>
      </c>
      <c r="D36" s="80">
        <v>75000</v>
      </c>
      <c r="E36" s="80">
        <v>18891.05</v>
      </c>
      <c r="F36" s="80">
        <v>18891.05</v>
      </c>
      <c r="G36" s="80">
        <f t="shared" si="6"/>
        <v>56108.95</v>
      </c>
    </row>
    <row r="37" spans="1:7" x14ac:dyDescent="0.25">
      <c r="A37" s="84" t="s">
        <v>305</v>
      </c>
      <c r="B37" s="80">
        <v>116400.57</v>
      </c>
      <c r="C37" s="80">
        <v>0</v>
      </c>
      <c r="D37" s="80">
        <v>116400.57</v>
      </c>
      <c r="E37" s="80">
        <v>42647.11</v>
      </c>
      <c r="F37" s="80">
        <v>42647.11</v>
      </c>
      <c r="G37" s="80">
        <f t="shared" si="6"/>
        <v>73753.460000000006</v>
      </c>
    </row>
    <row r="38" spans="1:7" x14ac:dyDescent="0.25">
      <c r="A38" s="83" t="s">
        <v>306</v>
      </c>
      <c r="B38" s="80">
        <f>SUM(B39:B47)</f>
        <v>1013500</v>
      </c>
      <c r="C38" s="80">
        <f t="shared" ref="C38:G38" si="7">SUM(C39:C47)</f>
        <v>0</v>
      </c>
      <c r="D38" s="80">
        <f t="shared" si="7"/>
        <v>1013500</v>
      </c>
      <c r="E38" s="80">
        <f t="shared" si="7"/>
        <v>0</v>
      </c>
      <c r="F38" s="80">
        <f t="shared" si="7"/>
        <v>0</v>
      </c>
      <c r="G38" s="80">
        <f t="shared" si="7"/>
        <v>1013500</v>
      </c>
    </row>
    <row r="39" spans="1:7" x14ac:dyDescent="0.25">
      <c r="A39" s="84" t="s">
        <v>307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308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309</v>
      </c>
      <c r="B41" s="80">
        <v>1013500</v>
      </c>
      <c r="C41" s="80">
        <v>0</v>
      </c>
      <c r="D41" s="80">
        <v>1013500</v>
      </c>
      <c r="E41" s="80">
        <v>0</v>
      </c>
      <c r="F41" s="80">
        <v>0</v>
      </c>
      <c r="G41" s="80">
        <f t="shared" si="8"/>
        <v>1013500</v>
      </c>
    </row>
    <row r="42" spans="1:7" x14ac:dyDescent="0.25">
      <c r="A42" s="84" t="s">
        <v>310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311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312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313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314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315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316</v>
      </c>
      <c r="B48" s="80">
        <f>SUM(B49:B57)</f>
        <v>35000</v>
      </c>
      <c r="C48" s="80">
        <f t="shared" ref="C48:G48" si="9">SUM(C49:C57)</f>
        <v>0</v>
      </c>
      <c r="D48" s="80">
        <f t="shared" si="9"/>
        <v>35000</v>
      </c>
      <c r="E48" s="80">
        <f t="shared" si="9"/>
        <v>0</v>
      </c>
      <c r="F48" s="80">
        <f t="shared" si="9"/>
        <v>0</v>
      </c>
      <c r="G48" s="80">
        <f t="shared" si="9"/>
        <v>35000</v>
      </c>
    </row>
    <row r="49" spans="1:7" x14ac:dyDescent="0.25">
      <c r="A49" s="84" t="s">
        <v>317</v>
      </c>
      <c r="B49" s="80">
        <v>15000</v>
      </c>
      <c r="C49" s="80">
        <v>0</v>
      </c>
      <c r="D49" s="80">
        <v>15000</v>
      </c>
      <c r="E49" s="80">
        <v>0</v>
      </c>
      <c r="F49" s="80">
        <v>0</v>
      </c>
      <c r="G49" s="80">
        <f>D49-E49</f>
        <v>15000</v>
      </c>
    </row>
    <row r="50" spans="1:7" x14ac:dyDescent="0.25">
      <c r="A50" s="84" t="s">
        <v>318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319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320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321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322</v>
      </c>
      <c r="B54" s="80">
        <v>20000</v>
      </c>
      <c r="C54" s="80">
        <v>0</v>
      </c>
      <c r="D54" s="80">
        <v>20000</v>
      </c>
      <c r="E54" s="80">
        <v>0</v>
      </c>
      <c r="F54" s="80">
        <v>0</v>
      </c>
      <c r="G54" s="80">
        <f t="shared" si="10"/>
        <v>20000</v>
      </c>
    </row>
    <row r="55" spans="1:7" x14ac:dyDescent="0.25">
      <c r="A55" s="84" t="s">
        <v>323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324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325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326</v>
      </c>
      <c r="B58" s="80">
        <f>SUM(B59:B61)</f>
        <v>104125</v>
      </c>
      <c r="C58" s="80">
        <f t="shared" ref="C58:G58" si="11">SUM(C59:C61)</f>
        <v>193000</v>
      </c>
      <c r="D58" s="80">
        <f t="shared" si="11"/>
        <v>297125</v>
      </c>
      <c r="E58" s="80">
        <f t="shared" si="11"/>
        <v>171118.2</v>
      </c>
      <c r="F58" s="80">
        <f t="shared" si="11"/>
        <v>171118.2</v>
      </c>
      <c r="G58" s="80">
        <f t="shared" si="11"/>
        <v>126006.79999999999</v>
      </c>
    </row>
    <row r="59" spans="1:7" x14ac:dyDescent="0.25">
      <c r="A59" s="84" t="s">
        <v>327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328</v>
      </c>
      <c r="B60" s="80">
        <v>104125</v>
      </c>
      <c r="C60" s="80">
        <v>193000</v>
      </c>
      <c r="D60" s="80">
        <v>297125</v>
      </c>
      <c r="E60" s="80">
        <v>171118.2</v>
      </c>
      <c r="F60" s="80">
        <v>171118.2</v>
      </c>
      <c r="G60" s="80">
        <f t="shared" ref="G60:G61" si="12">D60-E60</f>
        <v>126006.79999999999</v>
      </c>
    </row>
    <row r="61" spans="1:7" x14ac:dyDescent="0.25">
      <c r="A61" s="84" t="s">
        <v>329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330</v>
      </c>
      <c r="B62" s="80">
        <f>SUM(B63:B67,B69:B70)</f>
        <v>4923686.38</v>
      </c>
      <c r="C62" s="80">
        <f t="shared" ref="C62:G62" si="13">SUM(C63:C67,C69:C70)</f>
        <v>-426144.12</v>
      </c>
      <c r="D62" s="80">
        <f t="shared" si="13"/>
        <v>4497542.26</v>
      </c>
      <c r="E62" s="80">
        <f t="shared" si="13"/>
        <v>498000</v>
      </c>
      <c r="F62" s="80">
        <f t="shared" si="13"/>
        <v>498000</v>
      </c>
      <c r="G62" s="80">
        <f t="shared" si="13"/>
        <v>3999542.26</v>
      </c>
    </row>
    <row r="63" spans="1:7" x14ac:dyDescent="0.25">
      <c r="A63" s="84" t="s">
        <v>331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332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333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334</v>
      </c>
      <c r="B66" s="80">
        <v>1500000</v>
      </c>
      <c r="C66" s="80">
        <v>0</v>
      </c>
      <c r="D66" s="80">
        <v>1500000</v>
      </c>
      <c r="E66" s="80">
        <v>498000</v>
      </c>
      <c r="F66" s="80">
        <v>498000</v>
      </c>
      <c r="G66" s="80">
        <f t="shared" si="14"/>
        <v>1002000</v>
      </c>
    </row>
    <row r="67" spans="1:7" x14ac:dyDescent="0.25">
      <c r="A67" s="84" t="s">
        <v>335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337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338</v>
      </c>
      <c r="B70" s="80">
        <v>3423686.38</v>
      </c>
      <c r="C70" s="80">
        <v>-426144.12</v>
      </c>
      <c r="D70" s="80">
        <v>2997542.26</v>
      </c>
      <c r="E70" s="80">
        <v>0</v>
      </c>
      <c r="F70" s="80">
        <v>0</v>
      </c>
      <c r="G70" s="80">
        <f t="shared" si="14"/>
        <v>2997542.26</v>
      </c>
    </row>
    <row r="71" spans="1:7" x14ac:dyDescent="0.25">
      <c r="A71" s="83" t="s">
        <v>339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340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341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342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343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344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345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346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347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348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349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350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351</v>
      </c>
      <c r="B84" s="79">
        <f>SUM(B85,B93,B103,B113,B123,B133,B137,B146,B150)</f>
        <v>17254185</v>
      </c>
      <c r="C84" s="79">
        <f t="shared" ref="C84:G84" si="19">SUM(C85,C93,C103,C113,C123,C133,C137,C146,C150)</f>
        <v>0</v>
      </c>
      <c r="D84" s="79">
        <f t="shared" si="19"/>
        <v>17254185</v>
      </c>
      <c r="E84" s="79">
        <f t="shared" si="19"/>
        <v>0</v>
      </c>
      <c r="F84" s="79">
        <f t="shared" si="19"/>
        <v>0</v>
      </c>
      <c r="G84" s="79">
        <f t="shared" si="19"/>
        <v>17254185</v>
      </c>
    </row>
    <row r="85" spans="1:7" x14ac:dyDescent="0.25">
      <c r="A85" s="83" t="s">
        <v>278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279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280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281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282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283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284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285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286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287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288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289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290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291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292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293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294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295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296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297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298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299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300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301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302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303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304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305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306</v>
      </c>
      <c r="B113" s="80">
        <f>SUM(B114:B122)</f>
        <v>17254185</v>
      </c>
      <c r="C113" s="80">
        <f t="shared" ref="C113:G113" si="26">SUM(C114:C122)</f>
        <v>0</v>
      </c>
      <c r="D113" s="80">
        <f t="shared" si="26"/>
        <v>17254185</v>
      </c>
      <c r="E113" s="80">
        <f t="shared" si="26"/>
        <v>0</v>
      </c>
      <c r="F113" s="80">
        <f t="shared" si="26"/>
        <v>0</v>
      </c>
      <c r="G113" s="80">
        <f t="shared" si="26"/>
        <v>17254185</v>
      </c>
    </row>
    <row r="114" spans="1:7" x14ac:dyDescent="0.25">
      <c r="A114" s="84" t="s">
        <v>307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308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309</v>
      </c>
      <c r="B116" s="80">
        <v>17254185</v>
      </c>
      <c r="C116" s="80">
        <v>0</v>
      </c>
      <c r="D116" s="80">
        <v>17254185</v>
      </c>
      <c r="E116" s="80">
        <v>0</v>
      </c>
      <c r="F116" s="80">
        <v>0</v>
      </c>
      <c r="G116" s="80">
        <f t="shared" si="27"/>
        <v>17254185</v>
      </c>
    </row>
    <row r="117" spans="1:7" x14ac:dyDescent="0.25">
      <c r="A117" s="84" t="s">
        <v>310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311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312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313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314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315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316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317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318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319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320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321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322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323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324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325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326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327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328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329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330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331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332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333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334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335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3293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337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338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339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340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341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342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343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344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345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346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347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348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349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350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352</v>
      </c>
      <c r="B159" s="79">
        <f>B9+B84</f>
        <v>28000266.059999999</v>
      </c>
      <c r="C159" s="79">
        <f t="shared" ref="C159:G159" si="38">C9+C84</f>
        <v>1866855.88</v>
      </c>
      <c r="D159" s="79">
        <f t="shared" si="38"/>
        <v>29867121.939999998</v>
      </c>
      <c r="E159" s="79">
        <f t="shared" si="38"/>
        <v>3197365.7300000004</v>
      </c>
      <c r="F159" s="79">
        <f t="shared" si="38"/>
        <v>3196800.8200000003</v>
      </c>
      <c r="G159" s="79">
        <f t="shared" si="38"/>
        <v>26669756.210000001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10746081.059999999</v>
      </c>
      <c r="Q2" s="18">
        <f>'Formato 6 a)'!C9</f>
        <v>1866855.88</v>
      </c>
      <c r="R2" s="18">
        <f>'Formato 6 a)'!D9</f>
        <v>12612936.939999999</v>
      </c>
      <c r="S2" s="18">
        <f>'Formato 6 a)'!E9</f>
        <v>3197365.7300000004</v>
      </c>
      <c r="T2" s="18">
        <f>'Formato 6 a)'!F9</f>
        <v>3196800.8200000003</v>
      </c>
      <c r="U2" s="18">
        <f>'Formato 6 a)'!G9</f>
        <v>9415571.2100000009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2949393.11</v>
      </c>
      <c r="Q3" s="18">
        <f>'Formato 6 a)'!C10</f>
        <v>0</v>
      </c>
      <c r="R3" s="18">
        <f>'Formato 6 a)'!D10</f>
        <v>2949393.11</v>
      </c>
      <c r="S3" s="18">
        <f>'Formato 6 a)'!E10</f>
        <v>1131285.7200000002</v>
      </c>
      <c r="T3" s="18">
        <f>'Formato 6 a)'!F10</f>
        <v>1131285.7200000002</v>
      </c>
      <c r="U3" s="18">
        <f>'Formato 6 a)'!G10</f>
        <v>1818107.39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2282531.59</v>
      </c>
      <c r="Q4" s="18">
        <f>'Formato 6 a)'!C11</f>
        <v>0</v>
      </c>
      <c r="R4" s="18">
        <f>'Formato 6 a)'!D11</f>
        <v>2282531.59</v>
      </c>
      <c r="S4" s="18">
        <f>'Formato 6 a)'!E11</f>
        <v>1069033.57</v>
      </c>
      <c r="T4" s="18">
        <f>'Formato 6 a)'!F11</f>
        <v>1069033.57</v>
      </c>
      <c r="U4" s="18">
        <f>'Formato 6 a)'!G11</f>
        <v>1213498.0199999998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287661.52</v>
      </c>
      <c r="Q6" s="18">
        <f>'Formato 6 a)'!C13</f>
        <v>0</v>
      </c>
      <c r="R6" s="18">
        <f>'Formato 6 a)'!D13</f>
        <v>287661.52</v>
      </c>
      <c r="S6" s="18">
        <f>'Formato 6 a)'!E13</f>
        <v>8143.6</v>
      </c>
      <c r="T6" s="18">
        <f>'Formato 6 a)'!F13</f>
        <v>8143.6</v>
      </c>
      <c r="U6" s="18">
        <f>'Formato 6 a)'!G13</f>
        <v>279517.92000000004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379200</v>
      </c>
      <c r="Q8" s="18">
        <f>'Formato 6 a)'!C15</f>
        <v>0</v>
      </c>
      <c r="R8" s="18">
        <f>'Formato 6 a)'!D15</f>
        <v>379200</v>
      </c>
      <c r="S8" s="18">
        <f>'Formato 6 a)'!E15</f>
        <v>54108.55</v>
      </c>
      <c r="T8" s="18">
        <f>'Formato 6 a)'!F15</f>
        <v>54108.55</v>
      </c>
      <c r="U8" s="18">
        <f>'Formato 6 a)'!G15</f>
        <v>325091.45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401500</v>
      </c>
      <c r="Q11" s="18">
        <f>'Formato 6 a)'!C18</f>
        <v>127000</v>
      </c>
      <c r="R11" s="18">
        <f>'Formato 6 a)'!D18</f>
        <v>528500</v>
      </c>
      <c r="S11" s="18">
        <f>'Formato 6 a)'!E18</f>
        <v>142995.78</v>
      </c>
      <c r="T11" s="18">
        <f>'Formato 6 a)'!F18</f>
        <v>142430.87</v>
      </c>
      <c r="U11" s="18">
        <f>'Formato 6 a)'!G18</f>
        <v>385504.22000000003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79500</v>
      </c>
      <c r="Q12" s="18">
        <f>'Formato 6 a)'!C19</f>
        <v>0</v>
      </c>
      <c r="R12" s="18">
        <f>'Formato 6 a)'!D19</f>
        <v>79500</v>
      </c>
      <c r="S12" s="18">
        <f>'Formato 6 a)'!E19</f>
        <v>32282.560000000001</v>
      </c>
      <c r="T12" s="18">
        <f>'Formato 6 a)'!F19</f>
        <v>32282.560000000001</v>
      </c>
      <c r="U12" s="18">
        <f>'Formato 6 a)'!G19</f>
        <v>47217.440000000002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11000</v>
      </c>
      <c r="Q13" s="18">
        <f>'Formato 6 a)'!C20</f>
        <v>0</v>
      </c>
      <c r="R13" s="18">
        <f>'Formato 6 a)'!D20</f>
        <v>11000</v>
      </c>
      <c r="S13" s="18">
        <f>'Formato 6 a)'!E20</f>
        <v>2507.9899999999998</v>
      </c>
      <c r="T13" s="18">
        <f>'Formato 6 a)'!F20</f>
        <v>2507.9899999999998</v>
      </c>
      <c r="U13" s="18">
        <f>'Formato 6 a)'!G20</f>
        <v>8492.01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160000</v>
      </c>
      <c r="Q16" s="18">
        <f>'Formato 6 a)'!C23</f>
        <v>100000</v>
      </c>
      <c r="R16" s="18">
        <f>'Formato 6 a)'!D23</f>
        <v>260000</v>
      </c>
      <c r="S16" s="18">
        <f>'Formato 6 a)'!E23</f>
        <v>72068.56</v>
      </c>
      <c r="T16" s="18">
        <f>'Formato 6 a)'!F23</f>
        <v>72068.56</v>
      </c>
      <c r="U16" s="18">
        <f>'Formato 6 a)'!G23</f>
        <v>187931.44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114000</v>
      </c>
      <c r="Q17" s="18">
        <f>'Formato 6 a)'!C24</f>
        <v>27000</v>
      </c>
      <c r="R17" s="18">
        <f>'Formato 6 a)'!D24</f>
        <v>141000</v>
      </c>
      <c r="S17" s="18">
        <f>'Formato 6 a)'!E24</f>
        <v>32587.57</v>
      </c>
      <c r="T17" s="18">
        <f>'Formato 6 a)'!F24</f>
        <v>32022.66</v>
      </c>
      <c r="U17" s="18">
        <f>'Formato 6 a)'!G24</f>
        <v>108412.43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15000</v>
      </c>
      <c r="Q18" s="18">
        <f>'Formato 6 a)'!C25</f>
        <v>0</v>
      </c>
      <c r="R18" s="18">
        <f>'Formato 6 a)'!D25</f>
        <v>15000</v>
      </c>
      <c r="S18" s="18">
        <f>'Formato 6 a)'!E25</f>
        <v>1113.5999999999999</v>
      </c>
      <c r="T18" s="18">
        <f>'Formato 6 a)'!F25</f>
        <v>1113.5999999999999</v>
      </c>
      <c r="U18" s="18">
        <f>'Formato 6 a)'!G25</f>
        <v>13886.4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22000</v>
      </c>
      <c r="Q20" s="18">
        <f>'Formato 6 a)'!C27</f>
        <v>0</v>
      </c>
      <c r="R20" s="18">
        <f>'Formato 6 a)'!D27</f>
        <v>22000</v>
      </c>
      <c r="S20" s="18">
        <f>'Formato 6 a)'!E27</f>
        <v>2435.5</v>
      </c>
      <c r="T20" s="18">
        <f>'Formato 6 a)'!F27</f>
        <v>2435.5</v>
      </c>
      <c r="U20" s="18">
        <f>'Formato 6 a)'!G27</f>
        <v>19564.5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1318876.57</v>
      </c>
      <c r="Q21" s="18">
        <f>'Formato 6 a)'!C28</f>
        <v>1973000</v>
      </c>
      <c r="R21" s="18">
        <f>'Formato 6 a)'!D28</f>
        <v>3291876.57</v>
      </c>
      <c r="S21" s="18">
        <f>'Formato 6 a)'!E28</f>
        <v>1253966.03</v>
      </c>
      <c r="T21" s="18">
        <f>'Formato 6 a)'!F28</f>
        <v>1253966.03</v>
      </c>
      <c r="U21" s="18">
        <f>'Formato 6 a)'!G28</f>
        <v>2037910.54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65500</v>
      </c>
      <c r="Q22" s="18">
        <f>'Formato 6 a)'!C29</f>
        <v>0</v>
      </c>
      <c r="R22" s="18">
        <f>'Formato 6 a)'!D29</f>
        <v>65500</v>
      </c>
      <c r="S22" s="18">
        <f>'Formato 6 a)'!E29</f>
        <v>16356</v>
      </c>
      <c r="T22" s="18">
        <f>'Formato 6 a)'!F29</f>
        <v>16356</v>
      </c>
      <c r="U22" s="18">
        <f>'Formato 6 a)'!G29</f>
        <v>49144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78000</v>
      </c>
      <c r="Q23" s="18">
        <f>'Formato 6 a)'!C30</f>
        <v>0</v>
      </c>
      <c r="R23" s="18">
        <f>'Formato 6 a)'!D30</f>
        <v>78000</v>
      </c>
      <c r="S23" s="18">
        <f>'Formato 6 a)'!E30</f>
        <v>21624.720000000001</v>
      </c>
      <c r="T23" s="18">
        <f>'Formato 6 a)'!F30</f>
        <v>21624.720000000001</v>
      </c>
      <c r="U23" s="18">
        <f>'Formato 6 a)'!G30</f>
        <v>56375.28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509000</v>
      </c>
      <c r="Q24" s="18">
        <f>'Formato 6 a)'!C31</f>
        <v>1975000</v>
      </c>
      <c r="R24" s="18">
        <f>'Formato 6 a)'!D31</f>
        <v>2484000</v>
      </c>
      <c r="S24" s="18">
        <f>'Formato 6 a)'!E31</f>
        <v>1018630.03</v>
      </c>
      <c r="T24" s="18">
        <f>'Formato 6 a)'!F31</f>
        <v>1018630.03</v>
      </c>
      <c r="U24" s="18">
        <f>'Formato 6 a)'!G31</f>
        <v>1465369.97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174400</v>
      </c>
      <c r="Q25" s="18">
        <f>'Formato 6 a)'!C32</f>
        <v>-10000</v>
      </c>
      <c r="R25" s="18">
        <f>'Formato 6 a)'!D32</f>
        <v>164400</v>
      </c>
      <c r="S25" s="18">
        <f>'Formato 6 a)'!E32</f>
        <v>41714.47</v>
      </c>
      <c r="T25" s="18">
        <f>'Formato 6 a)'!F32</f>
        <v>41714.47</v>
      </c>
      <c r="U25" s="18">
        <f>'Formato 6 a)'!G32</f>
        <v>122685.53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240576</v>
      </c>
      <c r="Q26" s="18">
        <f>'Formato 6 a)'!C33</f>
        <v>25000</v>
      </c>
      <c r="R26" s="18">
        <f>'Formato 6 a)'!D33</f>
        <v>265576</v>
      </c>
      <c r="S26" s="18">
        <f>'Formato 6 a)'!E33</f>
        <v>92478.65</v>
      </c>
      <c r="T26" s="18">
        <f>'Formato 6 a)'!F33</f>
        <v>92478.65</v>
      </c>
      <c r="U26" s="18">
        <f>'Formato 6 a)'!G33</f>
        <v>173097.35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50000</v>
      </c>
      <c r="Q27" s="18">
        <f>'Formato 6 a)'!C34</f>
        <v>-27000</v>
      </c>
      <c r="R27" s="18">
        <f>'Formato 6 a)'!D34</f>
        <v>23000</v>
      </c>
      <c r="S27" s="18">
        <f>'Formato 6 a)'!E34</f>
        <v>1624</v>
      </c>
      <c r="T27" s="18">
        <f>'Formato 6 a)'!F34</f>
        <v>1624</v>
      </c>
      <c r="U27" s="18">
        <f>'Formato 6 a)'!G34</f>
        <v>21376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20000</v>
      </c>
      <c r="Q28" s="18">
        <f>'Formato 6 a)'!C35</f>
        <v>0</v>
      </c>
      <c r="R28" s="18">
        <f>'Formato 6 a)'!D35</f>
        <v>20000</v>
      </c>
      <c r="S28" s="18">
        <f>'Formato 6 a)'!E35</f>
        <v>0</v>
      </c>
      <c r="T28" s="18">
        <f>'Formato 6 a)'!F35</f>
        <v>0</v>
      </c>
      <c r="U28" s="18">
        <f>'Formato 6 a)'!G35</f>
        <v>20000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65000</v>
      </c>
      <c r="Q29" s="18">
        <f>'Formato 6 a)'!C36</f>
        <v>10000</v>
      </c>
      <c r="R29" s="18">
        <f>'Formato 6 a)'!D36</f>
        <v>75000</v>
      </c>
      <c r="S29" s="18">
        <f>'Formato 6 a)'!E36</f>
        <v>18891.05</v>
      </c>
      <c r="T29" s="18">
        <f>'Formato 6 a)'!F36</f>
        <v>18891.05</v>
      </c>
      <c r="U29" s="18">
        <f>'Formato 6 a)'!G36</f>
        <v>56108.95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116400.57</v>
      </c>
      <c r="Q30" s="18">
        <f>'Formato 6 a)'!C37</f>
        <v>0</v>
      </c>
      <c r="R30" s="18">
        <f>'Formato 6 a)'!D37</f>
        <v>116400.57</v>
      </c>
      <c r="S30" s="18">
        <f>'Formato 6 a)'!E37</f>
        <v>42647.11</v>
      </c>
      <c r="T30" s="18">
        <f>'Formato 6 a)'!F37</f>
        <v>42647.11</v>
      </c>
      <c r="U30" s="18">
        <f>'Formato 6 a)'!G37</f>
        <v>73753.460000000006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1013500</v>
      </c>
      <c r="Q31" s="18">
        <f>'Formato 6 a)'!C38</f>
        <v>0</v>
      </c>
      <c r="R31" s="18">
        <f>'Formato 6 a)'!D38</f>
        <v>1013500</v>
      </c>
      <c r="S31" s="18">
        <f>'Formato 6 a)'!E38</f>
        <v>0</v>
      </c>
      <c r="T31" s="18">
        <f>'Formato 6 a)'!F38</f>
        <v>0</v>
      </c>
      <c r="U31" s="18">
        <f>'Formato 6 a)'!G38</f>
        <v>1013500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1013500</v>
      </c>
      <c r="Q34" s="18">
        <f>'Formato 6 a)'!C41</f>
        <v>0</v>
      </c>
      <c r="R34" s="18">
        <f>'Formato 6 a)'!D41</f>
        <v>1013500</v>
      </c>
      <c r="S34" s="18">
        <f>'Formato 6 a)'!E41</f>
        <v>0</v>
      </c>
      <c r="T34" s="18">
        <f>'Formato 6 a)'!F41</f>
        <v>0</v>
      </c>
      <c r="U34" s="18">
        <f>'Formato 6 a)'!G41</f>
        <v>1013500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35000</v>
      </c>
      <c r="Q41" s="18">
        <f>'Formato 6 a)'!C48</f>
        <v>0</v>
      </c>
      <c r="R41" s="18">
        <f>'Formato 6 a)'!D48</f>
        <v>35000</v>
      </c>
      <c r="S41" s="18">
        <f>'Formato 6 a)'!E48</f>
        <v>0</v>
      </c>
      <c r="T41" s="18">
        <f>'Formato 6 a)'!F48</f>
        <v>0</v>
      </c>
      <c r="U41" s="18">
        <f>'Formato 6 a)'!G48</f>
        <v>35000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15000</v>
      </c>
      <c r="Q42" s="18">
        <f>'Formato 6 a)'!C49</f>
        <v>0</v>
      </c>
      <c r="R42" s="18">
        <f>'Formato 6 a)'!D49</f>
        <v>15000</v>
      </c>
      <c r="S42" s="18">
        <f>'Formato 6 a)'!E49</f>
        <v>0</v>
      </c>
      <c r="T42" s="18">
        <f>'Formato 6 a)'!F49</f>
        <v>0</v>
      </c>
      <c r="U42" s="18">
        <f>'Formato 6 a)'!G49</f>
        <v>15000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20000</v>
      </c>
      <c r="Q47" s="18">
        <f>'Formato 6 a)'!C54</f>
        <v>0</v>
      </c>
      <c r="R47" s="18">
        <f>'Formato 6 a)'!D54</f>
        <v>20000</v>
      </c>
      <c r="S47" s="18">
        <f>'Formato 6 a)'!E54</f>
        <v>0</v>
      </c>
      <c r="T47" s="18">
        <f>'Formato 6 a)'!F54</f>
        <v>0</v>
      </c>
      <c r="U47" s="18">
        <f>'Formato 6 a)'!G54</f>
        <v>20000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104125</v>
      </c>
      <c r="Q51" s="18">
        <f>'Formato 6 a)'!C58</f>
        <v>193000</v>
      </c>
      <c r="R51" s="18">
        <f>'Formato 6 a)'!D58</f>
        <v>297125</v>
      </c>
      <c r="S51" s="18">
        <f>'Formato 6 a)'!E58</f>
        <v>171118.2</v>
      </c>
      <c r="T51" s="18">
        <f>'Formato 6 a)'!F58</f>
        <v>171118.2</v>
      </c>
      <c r="U51" s="18">
        <f>'Formato 6 a)'!G58</f>
        <v>126006.79999999999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104125</v>
      </c>
      <c r="Q53" s="18">
        <f>'Formato 6 a)'!C60</f>
        <v>193000</v>
      </c>
      <c r="R53" s="18">
        <f>'Formato 6 a)'!D60</f>
        <v>297125</v>
      </c>
      <c r="S53" s="18">
        <f>'Formato 6 a)'!E60</f>
        <v>171118.2</v>
      </c>
      <c r="T53" s="18">
        <f>'Formato 6 a)'!F60</f>
        <v>171118.2</v>
      </c>
      <c r="U53" s="18">
        <f>'Formato 6 a)'!G60</f>
        <v>126006.79999999999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4923686.38</v>
      </c>
      <c r="Q55" s="18">
        <f>'Formato 6 a)'!C62</f>
        <v>-426144.12</v>
      </c>
      <c r="R55" s="18">
        <f>'Formato 6 a)'!D62</f>
        <v>4497542.26</v>
      </c>
      <c r="S55" s="18">
        <f>'Formato 6 a)'!E62</f>
        <v>498000</v>
      </c>
      <c r="T55" s="18">
        <f>'Formato 6 a)'!F62</f>
        <v>498000</v>
      </c>
      <c r="U55" s="18">
        <f>'Formato 6 a)'!G62</f>
        <v>3999542.26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1500000</v>
      </c>
      <c r="Q59" s="18">
        <f>'Formato 6 a)'!C66</f>
        <v>0</v>
      </c>
      <c r="R59" s="18">
        <f>'Formato 6 a)'!D66</f>
        <v>1500000</v>
      </c>
      <c r="S59" s="18">
        <f>'Formato 6 a)'!E66</f>
        <v>498000</v>
      </c>
      <c r="T59" s="18">
        <f>'Formato 6 a)'!F66</f>
        <v>498000</v>
      </c>
      <c r="U59" s="18">
        <f>'Formato 6 a)'!G66</f>
        <v>1002000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336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3423686.38</v>
      </c>
      <c r="Q63" s="18">
        <f>'Formato 6 a)'!C70</f>
        <v>-426144.12</v>
      </c>
      <c r="R63" s="18">
        <f>'Formato 6 a)'!D70</f>
        <v>2997542.26</v>
      </c>
      <c r="S63" s="18">
        <f>'Formato 6 a)'!E70</f>
        <v>0</v>
      </c>
      <c r="T63" s="18">
        <f>'Formato 6 a)'!F70</f>
        <v>0</v>
      </c>
      <c r="U63" s="18">
        <f>'Formato 6 a)'!G70</f>
        <v>2997542.26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17254185</v>
      </c>
      <c r="Q76">
        <f>'Formato 6 a)'!C84</f>
        <v>0</v>
      </c>
      <c r="R76">
        <f>'Formato 6 a)'!D84</f>
        <v>17254185</v>
      </c>
      <c r="S76">
        <f>'Formato 6 a)'!E84</f>
        <v>0</v>
      </c>
      <c r="T76">
        <f>'Formato 6 a)'!F84</f>
        <v>0</v>
      </c>
      <c r="U76">
        <f>'Formato 6 a)'!G84</f>
        <v>17254185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17254185</v>
      </c>
      <c r="Q105">
        <f>'Formato 6 a)'!C113</f>
        <v>0</v>
      </c>
      <c r="R105">
        <f>'Formato 6 a)'!D113</f>
        <v>17254185</v>
      </c>
      <c r="S105">
        <f>'Formato 6 a)'!E113</f>
        <v>0</v>
      </c>
      <c r="T105">
        <f>'Formato 6 a)'!F113</f>
        <v>0</v>
      </c>
      <c r="U105">
        <f>'Formato 6 a)'!G113</f>
        <v>17254185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17254185</v>
      </c>
      <c r="Q108">
        <f>'Formato 6 a)'!C116</f>
        <v>0</v>
      </c>
      <c r="R108">
        <f>'Formato 6 a)'!D116</f>
        <v>17254185</v>
      </c>
      <c r="S108">
        <f>'Formato 6 a)'!E116</f>
        <v>0</v>
      </c>
      <c r="T108">
        <f>'Formato 6 a)'!F116</f>
        <v>0</v>
      </c>
      <c r="U108">
        <f>'Formato 6 a)'!G116</f>
        <v>17254185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336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28000266.059999999</v>
      </c>
      <c r="Q150">
        <f>'Formato 6 a)'!C159</f>
        <v>1866855.88</v>
      </c>
      <c r="R150">
        <f>'Formato 6 a)'!D159</f>
        <v>29867121.939999998</v>
      </c>
      <c r="S150">
        <f>'Formato 6 a)'!E159</f>
        <v>3197365.7300000004</v>
      </c>
      <c r="T150">
        <f>'Formato 6 a)'!F159</f>
        <v>3196800.8200000003</v>
      </c>
      <c r="U150">
        <f>'Formato 6 a)'!G159</f>
        <v>26669756.210000001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269</v>
      </c>
      <c r="B3" s="157"/>
      <c r="C3" s="157"/>
      <c r="D3" s="157"/>
      <c r="E3" s="157"/>
      <c r="F3" s="157"/>
      <c r="G3" s="158"/>
    </row>
    <row r="4" spans="1:7" x14ac:dyDescent="0.25">
      <c r="A4" s="156" t="s">
        <v>423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271</v>
      </c>
      <c r="C7" s="170"/>
      <c r="D7" s="170"/>
      <c r="E7" s="170"/>
      <c r="F7" s="170"/>
      <c r="G7" s="174" t="s">
        <v>272</v>
      </c>
    </row>
    <row r="8" spans="1:7" ht="30" x14ac:dyDescent="0.25">
      <c r="A8" s="169"/>
      <c r="B8" s="46" t="s">
        <v>273</v>
      </c>
      <c r="C8" s="45" t="s">
        <v>203</v>
      </c>
      <c r="D8" s="46" t="s">
        <v>204</v>
      </c>
      <c r="E8" s="46" t="s">
        <v>159</v>
      </c>
      <c r="F8" s="46" t="s">
        <v>177</v>
      </c>
      <c r="G8" s="173"/>
    </row>
    <row r="9" spans="1:7" ht="14.25" x14ac:dyDescent="0.45">
      <c r="A9" s="52" t="s">
        <v>432</v>
      </c>
      <c r="B9" s="59">
        <f>SUM(B10:GASTO_NE_FIN_01)</f>
        <v>10746081.059999999</v>
      </c>
      <c r="C9" s="59">
        <f>SUM(C10:GASTO_NE_FIN_02)</f>
        <v>1866855.88</v>
      </c>
      <c r="D9" s="59">
        <f>SUM(D10:GASTO_NE_FIN_03)</f>
        <v>12612936.939999998</v>
      </c>
      <c r="E9" s="59">
        <f>SUM(E10:GASTO_NE_FIN_04)</f>
        <v>3197365.7300000004</v>
      </c>
      <c r="F9" s="59">
        <f>SUM(F10:GASTO_NE_FIN_05)</f>
        <v>3196800.8200000003</v>
      </c>
      <c r="G9" s="59">
        <f>SUM(G10:GASTO_NE_FIN_06)</f>
        <v>9415571.2099999972</v>
      </c>
    </row>
    <row r="10" spans="1:7" s="24" customFormat="1" x14ac:dyDescent="0.25">
      <c r="A10" s="144" t="s">
        <v>424</v>
      </c>
      <c r="B10" s="60">
        <v>6500748.3099999996</v>
      </c>
      <c r="C10" s="60">
        <v>-226144.12</v>
      </c>
      <c r="D10" s="60">
        <v>6274604.1899999995</v>
      </c>
      <c r="E10" s="60">
        <v>1104190.57</v>
      </c>
      <c r="F10" s="60">
        <v>1103625.6599999999</v>
      </c>
      <c r="G10" s="77">
        <f>D10-E10</f>
        <v>5170413.6199999992</v>
      </c>
    </row>
    <row r="11" spans="1:7" s="24" customFormat="1" x14ac:dyDescent="0.25">
      <c r="A11" s="144" t="s">
        <v>425</v>
      </c>
      <c r="B11" s="60">
        <v>885969.21</v>
      </c>
      <c r="C11" s="60">
        <v>2093000</v>
      </c>
      <c r="D11" s="60">
        <v>2978969.21</v>
      </c>
      <c r="E11" s="60">
        <v>1279288.42</v>
      </c>
      <c r="F11" s="60">
        <v>1279288.42</v>
      </c>
      <c r="G11" s="77">
        <f t="shared" ref="G11:G17" si="0">D11-E11</f>
        <v>1699680.79</v>
      </c>
    </row>
    <row r="12" spans="1:7" s="24" customFormat="1" x14ac:dyDescent="0.25">
      <c r="A12" s="144" t="s">
        <v>426</v>
      </c>
      <c r="B12" s="60">
        <v>3359363.5399999991</v>
      </c>
      <c r="C12" s="60">
        <v>0</v>
      </c>
      <c r="D12" s="60">
        <v>3359363.5399999991</v>
      </c>
      <c r="E12" s="60">
        <v>813886.74</v>
      </c>
      <c r="F12" s="60">
        <v>813886.74</v>
      </c>
      <c r="G12" s="77">
        <f t="shared" si="0"/>
        <v>2545476.7999999989</v>
      </c>
    </row>
    <row r="13" spans="1:7" s="24" customFormat="1" x14ac:dyDescent="0.25">
      <c r="A13" s="144" t="s">
        <v>427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428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429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433</v>
      </c>
      <c r="B19" s="61">
        <f>SUM(B20:GASTO_E_FIN_01)</f>
        <v>17254185</v>
      </c>
      <c r="C19" s="61">
        <f>SUM(C20:GASTO_E_FIN_02)</f>
        <v>0</v>
      </c>
      <c r="D19" s="61">
        <f>SUM(D20:GASTO_E_FIN_03)</f>
        <v>17254185</v>
      </c>
      <c r="E19" s="61">
        <f>SUM(E20:GASTO_E_FIN_04)</f>
        <v>0</v>
      </c>
      <c r="F19" s="61">
        <f>SUM(F20:GASTO_E_FIN_05)</f>
        <v>0</v>
      </c>
      <c r="G19" s="61">
        <f>SUM(G20:GASTO_E_FIN_06)</f>
        <v>17254185</v>
      </c>
    </row>
    <row r="20" spans="1:7" s="24" customFormat="1" x14ac:dyDescent="0.25">
      <c r="A20" s="144" t="s">
        <v>424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x14ac:dyDescent="0.25">
      <c r="A21" s="144" t="s">
        <v>425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426</v>
      </c>
      <c r="B22" s="60">
        <v>17254185</v>
      </c>
      <c r="C22" s="60">
        <v>0</v>
      </c>
      <c r="D22" s="60">
        <v>17254185</v>
      </c>
      <c r="E22" s="60">
        <v>0</v>
      </c>
      <c r="F22" s="60">
        <v>0</v>
      </c>
      <c r="G22" s="60">
        <f t="shared" si="1"/>
        <v>17254185</v>
      </c>
    </row>
    <row r="23" spans="1:7" s="24" customFormat="1" x14ac:dyDescent="0.25">
      <c r="A23" s="144" t="s">
        <v>427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428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429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431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ht="14.25" x14ac:dyDescent="0.45">
      <c r="A28" s="76" t="s">
        <v>678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352</v>
      </c>
      <c r="B29" s="61">
        <f>GASTO_NE_T1+GASTO_E_T1</f>
        <v>28000266.059999999</v>
      </c>
      <c r="C29" s="61">
        <f>GASTO_NE_T2+GASTO_E_T2</f>
        <v>1866855.88</v>
      </c>
      <c r="D29" s="61">
        <f>GASTO_NE_T3+GASTO_E_T3</f>
        <v>29867121.939999998</v>
      </c>
      <c r="E29" s="61">
        <f>GASTO_NE_T4+GASTO_E_T4</f>
        <v>3197365.7300000004</v>
      </c>
      <c r="F29" s="61">
        <f>GASTO_NE_T5+GASTO_E_T5</f>
        <v>3196800.8200000003</v>
      </c>
      <c r="G29" s="61">
        <f>GASTO_NE_T6+GASTO_E_T6</f>
        <v>26669756.209999997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10746081.059999999</v>
      </c>
      <c r="Q2" s="18">
        <f>GASTO_NE_T2</f>
        <v>1866855.88</v>
      </c>
      <c r="R2" s="18">
        <f>GASTO_NE_T3</f>
        <v>12612936.939999998</v>
      </c>
      <c r="S2" s="18">
        <f>GASTO_NE_T4</f>
        <v>3197365.7300000004</v>
      </c>
      <c r="T2" s="18">
        <f>GASTO_NE_T5</f>
        <v>3196800.8200000003</v>
      </c>
      <c r="U2" s="18">
        <f>GASTO_NE_T6</f>
        <v>9415571.2099999972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17254185</v>
      </c>
      <c r="Q3" s="18">
        <f>GASTO_E_T2</f>
        <v>0</v>
      </c>
      <c r="R3" s="18">
        <f>GASTO_E_T3</f>
        <v>17254185</v>
      </c>
      <c r="S3" s="18">
        <f>GASTO_E_T4</f>
        <v>0</v>
      </c>
      <c r="T3" s="18">
        <f>GASTO_E_T5</f>
        <v>0</v>
      </c>
      <c r="U3" s="18">
        <f>GASTO_E_T6</f>
        <v>17254185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28000266.059999999</v>
      </c>
      <c r="Q4" s="18">
        <f>TOTAL_E_T2</f>
        <v>1866855.88</v>
      </c>
      <c r="R4" s="18">
        <f>TOTAL_E_T3</f>
        <v>29867121.939999998</v>
      </c>
      <c r="S4" s="18">
        <f>TOTAL_E_T4</f>
        <v>3197365.7300000004</v>
      </c>
      <c r="T4" s="18">
        <f>TOTAL_E_T5</f>
        <v>3196800.8200000003</v>
      </c>
      <c r="U4" s="18">
        <f>TOTAL_E_T6</f>
        <v>26669756.209999997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2" zoomScale="90" zoomScaleNormal="90" workbookViewId="0">
      <selection activeCell="G68" sqref="G6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388</v>
      </c>
      <c r="B3" s="157"/>
      <c r="C3" s="157"/>
      <c r="D3" s="157"/>
      <c r="E3" s="157"/>
      <c r="F3" s="157"/>
      <c r="G3" s="158"/>
    </row>
    <row r="4" spans="1:7" x14ac:dyDescent="0.25">
      <c r="A4" s="156" t="s">
        <v>389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271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273</v>
      </c>
      <c r="C8" s="45" t="s">
        <v>354</v>
      </c>
      <c r="D8" s="46" t="s">
        <v>275</v>
      </c>
      <c r="E8" s="46" t="s">
        <v>159</v>
      </c>
      <c r="F8" s="47" t="s">
        <v>177</v>
      </c>
      <c r="G8" s="173"/>
    </row>
    <row r="9" spans="1:7" ht="14.25" x14ac:dyDescent="0.45">
      <c r="A9" s="52" t="s">
        <v>355</v>
      </c>
      <c r="B9" s="70">
        <f>SUM(B10,B19,B27,B37)</f>
        <v>10746081.060000001</v>
      </c>
      <c r="C9" s="70">
        <f t="shared" ref="C9:G9" si="0">SUM(C10,C19,C27,C37)</f>
        <v>1866855.88</v>
      </c>
      <c r="D9" s="70">
        <f t="shared" si="0"/>
        <v>12612936.940000001</v>
      </c>
      <c r="E9" s="70">
        <f t="shared" si="0"/>
        <v>3197365.73</v>
      </c>
      <c r="F9" s="70">
        <f t="shared" si="0"/>
        <v>3196800.82</v>
      </c>
      <c r="G9" s="70">
        <f t="shared" si="0"/>
        <v>9415571.2100000009</v>
      </c>
    </row>
    <row r="10" spans="1:7" ht="14.25" x14ac:dyDescent="0.45">
      <c r="A10" s="53" t="s">
        <v>356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357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358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359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360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361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362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363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364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365</v>
      </c>
      <c r="B19" s="71">
        <f>SUM(B20:B26)</f>
        <v>10746081.060000001</v>
      </c>
      <c r="C19" s="71">
        <f t="shared" ref="C19:F19" si="3">SUM(C20:C26)</f>
        <v>1866855.88</v>
      </c>
      <c r="D19" s="71">
        <f t="shared" si="3"/>
        <v>12612936.940000001</v>
      </c>
      <c r="E19" s="71">
        <f t="shared" si="3"/>
        <v>3197365.73</v>
      </c>
      <c r="F19" s="71">
        <f t="shared" si="3"/>
        <v>3196800.82</v>
      </c>
      <c r="G19" s="71">
        <f>SUM(G20:G26)</f>
        <v>9415571.2100000009</v>
      </c>
    </row>
    <row r="20" spans="1:7" x14ac:dyDescent="0.25">
      <c r="A20" s="63" t="s">
        <v>366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367</v>
      </c>
      <c r="B21" s="71">
        <v>10746081.060000001</v>
      </c>
      <c r="C21" s="71">
        <v>1866855.88</v>
      </c>
      <c r="D21" s="71">
        <v>12612936.940000001</v>
      </c>
      <c r="E21" s="71">
        <v>3197365.73</v>
      </c>
      <c r="F21" s="71">
        <v>3196800.82</v>
      </c>
      <c r="G21" s="72">
        <f t="shared" ref="G21:G26" si="4">D21-E21</f>
        <v>9415571.2100000009</v>
      </c>
    </row>
    <row r="22" spans="1:7" ht="14.25" x14ac:dyDescent="0.45">
      <c r="A22" s="63" t="s">
        <v>368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369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370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371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ht="14.25" x14ac:dyDescent="0.45">
      <c r="A26" s="63" t="s">
        <v>372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373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374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ht="14.25" x14ac:dyDescent="0.45">
      <c r="A29" s="63" t="s">
        <v>375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376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377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ht="14.25" x14ac:dyDescent="0.45">
      <c r="A32" s="63" t="s">
        <v>378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ht="14.25" x14ac:dyDescent="0.45">
      <c r="A33" s="63" t="s">
        <v>379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ht="14.25" x14ac:dyDescent="0.45">
      <c r="A34" s="63" t="s">
        <v>380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381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382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28.5" x14ac:dyDescent="0.45">
      <c r="A37" s="64" t="s">
        <v>390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383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384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ht="14.25" x14ac:dyDescent="0.45">
      <c r="A40" s="69" t="s">
        <v>385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x14ac:dyDescent="0.25">
      <c r="A41" s="69" t="s">
        <v>386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387</v>
      </c>
      <c r="B43" s="73">
        <f>SUM(B44,B53,B61,B71)</f>
        <v>17254185</v>
      </c>
      <c r="C43" s="73">
        <f t="shared" ref="C43:G43" si="9">SUM(C44,C53,C61,C71)</f>
        <v>0</v>
      </c>
      <c r="D43" s="73">
        <f t="shared" si="9"/>
        <v>17254185</v>
      </c>
      <c r="E43" s="73">
        <f t="shared" si="9"/>
        <v>0</v>
      </c>
      <c r="F43" s="73">
        <f t="shared" si="9"/>
        <v>0</v>
      </c>
      <c r="G43" s="73">
        <f t="shared" si="9"/>
        <v>17254185</v>
      </c>
    </row>
    <row r="44" spans="1:7" x14ac:dyDescent="0.25">
      <c r="A44" s="53" t="s">
        <v>422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357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2">
        <f>D45-E45</f>
        <v>0</v>
      </c>
    </row>
    <row r="46" spans="1:7" x14ac:dyDescent="0.25">
      <c r="A46" s="69" t="s">
        <v>358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2">
        <f t="shared" ref="G46:G52" si="11">D46-E46</f>
        <v>0</v>
      </c>
    </row>
    <row r="47" spans="1:7" x14ac:dyDescent="0.25">
      <c r="A47" s="69" t="s">
        <v>359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2">
        <f t="shared" si="11"/>
        <v>0</v>
      </c>
    </row>
    <row r="48" spans="1:7" x14ac:dyDescent="0.25">
      <c r="A48" s="69" t="s">
        <v>360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2">
        <f t="shared" si="11"/>
        <v>0</v>
      </c>
    </row>
    <row r="49" spans="1:7" x14ac:dyDescent="0.25">
      <c r="A49" s="69" t="s">
        <v>361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2">
        <f t="shared" si="11"/>
        <v>0</v>
      </c>
    </row>
    <row r="50" spans="1:7" x14ac:dyDescent="0.25">
      <c r="A50" s="69" t="s">
        <v>362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2">
        <f t="shared" si="11"/>
        <v>0</v>
      </c>
    </row>
    <row r="51" spans="1:7" x14ac:dyDescent="0.25">
      <c r="A51" s="69" t="s">
        <v>363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2">
        <f t="shared" si="11"/>
        <v>0</v>
      </c>
    </row>
    <row r="52" spans="1:7" x14ac:dyDescent="0.25">
      <c r="A52" s="69" t="s">
        <v>364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2">
        <f t="shared" si="11"/>
        <v>0</v>
      </c>
    </row>
    <row r="53" spans="1:7" x14ac:dyDescent="0.25">
      <c r="A53" s="53" t="s">
        <v>365</v>
      </c>
      <c r="B53" s="71">
        <f>SUM(B54:B60)</f>
        <v>17254185</v>
      </c>
      <c r="C53" s="71">
        <f t="shared" ref="C53:G53" si="12">SUM(C54:C60)</f>
        <v>0</v>
      </c>
      <c r="D53" s="71">
        <f t="shared" si="12"/>
        <v>17254185</v>
      </c>
      <c r="E53" s="71">
        <f t="shared" si="12"/>
        <v>0</v>
      </c>
      <c r="F53" s="71">
        <f t="shared" si="12"/>
        <v>0</v>
      </c>
      <c r="G53" s="71">
        <f t="shared" si="12"/>
        <v>17254185</v>
      </c>
    </row>
    <row r="54" spans="1:7" x14ac:dyDescent="0.25">
      <c r="A54" s="69" t="s">
        <v>366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367</v>
      </c>
      <c r="B55" s="71">
        <v>17254185</v>
      </c>
      <c r="C55" s="71">
        <v>0</v>
      </c>
      <c r="D55" s="71">
        <v>17254185</v>
      </c>
      <c r="E55" s="71">
        <v>0</v>
      </c>
      <c r="F55" s="71">
        <v>0</v>
      </c>
      <c r="G55" s="72">
        <f t="shared" ref="G55:G60" si="13">D55-E55</f>
        <v>17254185</v>
      </c>
    </row>
    <row r="56" spans="1:7" x14ac:dyDescent="0.25">
      <c r="A56" s="69" t="s">
        <v>368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369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370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371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372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373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374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375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376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377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378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379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380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381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382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383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384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385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386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352</v>
      </c>
      <c r="B77" s="73">
        <f>B43+B9</f>
        <v>28000266.060000002</v>
      </c>
      <c r="C77" s="73">
        <f t="shared" ref="C77:F77" si="18">C43+C9</f>
        <v>1866855.88</v>
      </c>
      <c r="D77" s="73">
        <f t="shared" si="18"/>
        <v>29867121.940000001</v>
      </c>
      <c r="E77" s="73">
        <f t="shared" si="18"/>
        <v>3197365.73</v>
      </c>
      <c r="F77" s="73">
        <f t="shared" si="18"/>
        <v>3196800.82</v>
      </c>
      <c r="G77" s="73">
        <f>G43+G9</f>
        <v>26669756.210000001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10746081.060000001</v>
      </c>
      <c r="Q2" s="18">
        <f>'Formato 6 c)'!C9</f>
        <v>1866855.88</v>
      </c>
      <c r="R2" s="18">
        <f>'Formato 6 c)'!D9</f>
        <v>12612936.940000001</v>
      </c>
      <c r="S2" s="18">
        <f>'Formato 6 c)'!E9</f>
        <v>3197365.73</v>
      </c>
      <c r="T2" s="18">
        <f>'Formato 6 c)'!F9</f>
        <v>3196800.82</v>
      </c>
      <c r="U2" s="18">
        <f>'Formato 6 c)'!G9</f>
        <v>9415571.2100000009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10746081.060000001</v>
      </c>
      <c r="Q12" s="18">
        <f>'Formato 6 c)'!C19</f>
        <v>1866855.88</v>
      </c>
      <c r="R12" s="18">
        <f>'Formato 6 c)'!D19</f>
        <v>12612936.940000001</v>
      </c>
      <c r="S12" s="18">
        <f>'Formato 6 c)'!E19</f>
        <v>3197365.73</v>
      </c>
      <c r="T12" s="18">
        <f>'Formato 6 c)'!F19</f>
        <v>3196800.82</v>
      </c>
      <c r="U12" s="18">
        <f>'Formato 6 c)'!G19</f>
        <v>9415571.2100000009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10746081.060000001</v>
      </c>
      <c r="Q14" s="18">
        <f>'Formato 6 c)'!C21</f>
        <v>1866855.88</v>
      </c>
      <c r="R14" s="18">
        <f>'Formato 6 c)'!D21</f>
        <v>12612936.940000001</v>
      </c>
      <c r="S14" s="18">
        <f>'Formato 6 c)'!E21</f>
        <v>3197365.73</v>
      </c>
      <c r="T14" s="18">
        <f>'Formato 6 c)'!F21</f>
        <v>3196800.82</v>
      </c>
      <c r="U14" s="18">
        <f>'Formato 6 c)'!G21</f>
        <v>9415571.2100000009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17254185</v>
      </c>
      <c r="Q35" s="18">
        <f>'Formato 6 c)'!C43</f>
        <v>0</v>
      </c>
      <c r="R35" s="18">
        <f>'Formato 6 c)'!D43</f>
        <v>17254185</v>
      </c>
      <c r="S35" s="18">
        <f>'Formato 6 c)'!E43</f>
        <v>0</v>
      </c>
      <c r="T35" s="18">
        <f>'Formato 6 c)'!F43</f>
        <v>0</v>
      </c>
      <c r="U35" s="18">
        <f>'Formato 6 c)'!G43</f>
        <v>17254185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17254185</v>
      </c>
      <c r="Q45" s="18">
        <f>'Formato 6 c)'!C53</f>
        <v>0</v>
      </c>
      <c r="R45" s="18">
        <f>'Formato 6 c)'!D53</f>
        <v>17254185</v>
      </c>
      <c r="S45" s="18">
        <f>'Formato 6 c)'!E53</f>
        <v>0</v>
      </c>
      <c r="T45" s="18">
        <f>'Formato 6 c)'!F53</f>
        <v>0</v>
      </c>
      <c r="U45" s="18">
        <f>'Formato 6 c)'!G53</f>
        <v>17254185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17254185</v>
      </c>
      <c r="Q47" s="18">
        <f>'Formato 6 c)'!C55</f>
        <v>0</v>
      </c>
      <c r="R47" s="18">
        <f>'Formato 6 c)'!D55</f>
        <v>17254185</v>
      </c>
      <c r="S47" s="18">
        <f>'Formato 6 c)'!E55</f>
        <v>0</v>
      </c>
      <c r="T47" s="18">
        <f>'Formato 6 c)'!F55</f>
        <v>0</v>
      </c>
      <c r="U47" s="18">
        <f>'Formato 6 c)'!G55</f>
        <v>17254185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28000266.060000002</v>
      </c>
      <c r="Q68" s="18">
        <f>'Formato 6 c)'!C77</f>
        <v>1866855.88</v>
      </c>
      <c r="R68" s="18">
        <f>'Formato 6 c)'!D77</f>
        <v>29867121.940000001</v>
      </c>
      <c r="S68" s="18">
        <f>'Formato 6 c)'!E77</f>
        <v>3197365.73</v>
      </c>
      <c r="T68" s="18">
        <f>'Formato 6 c)'!F77</f>
        <v>3196800.82</v>
      </c>
      <c r="U68" s="18">
        <f>'Formato 6 c)'!G77</f>
        <v>26669756.210000001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VIVIENDA DE SAN MIGUEL DE ALLENDE, GTO., Gobierno del Estado de Guanajuato</v>
      </c>
    </row>
    <row r="7" spans="2:3" ht="14.25" x14ac:dyDescent="0.45">
      <c r="C7" t="str">
        <f>CONCATENATE(ENTE_PUBLICO," (a)")</f>
        <v>INSTITUTO MUNICIPAL DE VIVIENDA DE SAN MIGUEL DE ALLENDE, GTO.,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1152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786</v>
      </c>
      <c r="C12" s="24">
        <v>2018</v>
      </c>
    </row>
    <row r="14" spans="2:3" ht="14.25" x14ac:dyDescent="0.45">
      <c r="B14" t="s">
        <v>785</v>
      </c>
      <c r="C14" s="24" t="s">
        <v>3295</v>
      </c>
    </row>
    <row r="15" spans="2:3" ht="14.25" x14ac:dyDescent="0.45">
      <c r="C15" s="24">
        <v>2</v>
      </c>
    </row>
    <row r="16" spans="2:3" ht="14.25" x14ac:dyDescent="0.45">
      <c r="C16" s="24" t="s">
        <v>3296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F32" sqref="F3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269</v>
      </c>
      <c r="B3" s="160"/>
      <c r="C3" s="160"/>
      <c r="D3" s="160"/>
      <c r="E3" s="160"/>
      <c r="F3" s="160"/>
      <c r="G3" s="161"/>
    </row>
    <row r="4" spans="1:7" x14ac:dyDescent="0.25">
      <c r="A4" s="159" t="s">
        <v>391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junio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353</v>
      </c>
      <c r="B7" s="173" t="s">
        <v>271</v>
      </c>
      <c r="C7" s="173"/>
      <c r="D7" s="173"/>
      <c r="E7" s="173"/>
      <c r="F7" s="173"/>
      <c r="G7" s="173" t="s">
        <v>272</v>
      </c>
    </row>
    <row r="8" spans="1:7" ht="29.25" customHeight="1" x14ac:dyDescent="0.25">
      <c r="A8" s="169"/>
      <c r="B8" s="45" t="s">
        <v>273</v>
      </c>
      <c r="C8" s="50" t="s">
        <v>354</v>
      </c>
      <c r="D8" s="50" t="s">
        <v>204</v>
      </c>
      <c r="E8" s="50" t="s">
        <v>159</v>
      </c>
      <c r="F8" s="50" t="s">
        <v>177</v>
      </c>
      <c r="G8" s="180"/>
    </row>
    <row r="9" spans="1:7" ht="14.25" x14ac:dyDescent="0.45">
      <c r="A9" s="52" t="s">
        <v>392</v>
      </c>
      <c r="B9" s="66">
        <f>SUM(B10,B11,B12,B15,B16,B19)</f>
        <v>2949393.11</v>
      </c>
      <c r="C9" s="66">
        <f t="shared" ref="C9:F9" si="0">SUM(C10,C11,C12,C15,C16,C19)</f>
        <v>0</v>
      </c>
      <c r="D9" s="66">
        <f t="shared" si="0"/>
        <v>2949393.11</v>
      </c>
      <c r="E9" s="66">
        <f t="shared" si="0"/>
        <v>1131285.72</v>
      </c>
      <c r="F9" s="66">
        <f t="shared" si="0"/>
        <v>1131285.72</v>
      </c>
      <c r="G9" s="66">
        <f>SUM(G10,G11,G12,G15,G16,G19)</f>
        <v>1818107.39</v>
      </c>
    </row>
    <row r="10" spans="1:7" x14ac:dyDescent="0.25">
      <c r="A10" s="53" t="s">
        <v>393</v>
      </c>
      <c r="B10" s="67">
        <v>2949393.11</v>
      </c>
      <c r="C10" s="67">
        <v>0</v>
      </c>
      <c r="D10" s="67">
        <v>2949393.11</v>
      </c>
      <c r="E10" s="67">
        <v>1131285.72</v>
      </c>
      <c r="F10" s="67">
        <v>1131285.72</v>
      </c>
      <c r="G10" s="67">
        <f>D10-E10</f>
        <v>1818107.39</v>
      </c>
    </row>
    <row r="11" spans="1:7" ht="14.25" x14ac:dyDescent="0.45">
      <c r="A11" s="53" t="s">
        <v>394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395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396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397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398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399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400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401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402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403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393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394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395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396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397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398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399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400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ht="14.25" x14ac:dyDescent="0.45">
      <c r="A30" s="63" t="s">
        <v>401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ht="14.25" x14ac:dyDescent="0.45">
      <c r="A31" s="53" t="s">
        <v>402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404</v>
      </c>
      <c r="B33" s="66">
        <f>B21+B9</f>
        <v>2949393.11</v>
      </c>
      <c r="C33" s="66">
        <f t="shared" ref="C33:G33" si="9">C21+C9</f>
        <v>0</v>
      </c>
      <c r="D33" s="66">
        <f t="shared" si="9"/>
        <v>2949393.11</v>
      </c>
      <c r="E33" s="66">
        <f t="shared" si="9"/>
        <v>1131285.72</v>
      </c>
      <c r="F33" s="66">
        <f t="shared" si="9"/>
        <v>1131285.72</v>
      </c>
      <c r="G33" s="66">
        <f t="shared" si="9"/>
        <v>1818107.39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2949393.11</v>
      </c>
      <c r="Q2" s="18">
        <f>'Formato 6 d)'!C9</f>
        <v>0</v>
      </c>
      <c r="R2" s="18">
        <f>'Formato 6 d)'!D9</f>
        <v>2949393.11</v>
      </c>
      <c r="S2" s="18">
        <f>'Formato 6 d)'!E9</f>
        <v>1131285.72</v>
      </c>
      <c r="T2" s="18">
        <f>'Formato 6 d)'!F9</f>
        <v>1131285.72</v>
      </c>
      <c r="U2" s="18">
        <f>'Formato 6 d)'!G9</f>
        <v>1818107.39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2949393.11</v>
      </c>
      <c r="Q3" s="18">
        <f>'Formato 6 d)'!C10</f>
        <v>0</v>
      </c>
      <c r="R3" s="18">
        <f>'Formato 6 d)'!D10</f>
        <v>2949393.11</v>
      </c>
      <c r="S3" s="18">
        <f>'Formato 6 d)'!E10</f>
        <v>1131285.72</v>
      </c>
      <c r="T3" s="18">
        <f>'Formato 6 d)'!F10</f>
        <v>1131285.72</v>
      </c>
      <c r="U3" s="18">
        <f>'Formato 6 d)'!G10</f>
        <v>1818107.39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2949393.11</v>
      </c>
      <c r="Q24" s="18">
        <f>'Formato 6 d)'!C33</f>
        <v>0</v>
      </c>
      <c r="R24" s="18">
        <f>'Formato 6 d)'!D33</f>
        <v>2949393.11</v>
      </c>
      <c r="S24" s="18">
        <f>'Formato 6 d)'!E33</f>
        <v>1131285.72</v>
      </c>
      <c r="T24" s="18">
        <f>'Formato 6 d)'!F33</f>
        <v>1131285.72</v>
      </c>
      <c r="U24" s="18">
        <f>'Formato 6 d)'!G33</f>
        <v>1818107.39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F19" sqref="F19:F2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405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406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407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413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208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209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212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213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409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232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233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412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414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415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416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417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257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258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418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261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419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263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5" x14ac:dyDescent="0.45">
      <c r="A36" s="57" t="s">
        <v>265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4.25" x14ac:dyDescent="0.45">
      <c r="A37" s="55" t="s">
        <v>421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207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263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G8" sqref="G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443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444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407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446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447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448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449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7" zoomScale="90" zoomScaleNormal="90" workbookViewId="0">
      <selection activeCell="F29" sqref="F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458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459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464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466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261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263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14.25" x14ac:dyDescent="0.45">
      <c r="A35" s="57" t="s">
        <v>480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14.25" x14ac:dyDescent="0.4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ht="14.25" x14ac:dyDescent="0.4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207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263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482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483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ht="14.25" x14ac:dyDescent="0.45">
      <c r="A7" s="52" t="s">
        <v>484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446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447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448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449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450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451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452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453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454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447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3" sqref="A3:F3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VIVIENDA DE SAN MIGUEL DE ALLENDE,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488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 t="s">
        <v>3305</v>
      </c>
      <c r="C6" s="60" t="s">
        <v>3305</v>
      </c>
      <c r="D6" s="60" t="s">
        <v>3305</v>
      </c>
      <c r="E6" s="60" t="s">
        <v>3305</v>
      </c>
      <c r="F6" s="60" t="s">
        <v>3305</v>
      </c>
    </row>
    <row r="7" spans="1:7" x14ac:dyDescent="0.25">
      <c r="A7" s="137" t="s">
        <v>496</v>
      </c>
      <c r="B7" s="60" t="s">
        <v>3305</v>
      </c>
      <c r="C7" s="60" t="s">
        <v>3305</v>
      </c>
      <c r="D7" s="60" t="s">
        <v>3305</v>
      </c>
      <c r="E7" s="60" t="s">
        <v>3305</v>
      </c>
      <c r="F7" s="60" t="s">
        <v>3305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ht="14.25" x14ac:dyDescent="0.4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ht="14.25" x14ac:dyDescent="0.45">
      <c r="A13" s="139" t="s">
        <v>501</v>
      </c>
      <c r="B13" s="60"/>
      <c r="C13" s="60"/>
      <c r="D13" s="60"/>
      <c r="E13" s="60"/>
      <c r="F13" s="60"/>
    </row>
    <row r="14" spans="1:7" ht="14.25" x14ac:dyDescent="0.4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ht="14.25" x14ac:dyDescent="0.45">
      <c r="A17" s="139" t="s">
        <v>501</v>
      </c>
      <c r="B17" s="60"/>
      <c r="C17" s="60"/>
      <c r="D17" s="60"/>
      <c r="E17" s="60"/>
      <c r="F17" s="60"/>
    </row>
    <row r="18" spans="1:6" ht="14.25" x14ac:dyDescent="0.4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ht="14.25" x14ac:dyDescent="0.45">
      <c r="A22" s="64" t="s">
        <v>507</v>
      </c>
      <c r="B22" s="146"/>
      <c r="C22" s="146"/>
      <c r="D22" s="146"/>
      <c r="E22" s="146"/>
      <c r="F22" s="146"/>
    </row>
    <row r="23" spans="1:6" ht="14.25" x14ac:dyDescent="0.4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ht="14.25" x14ac:dyDescent="0.45">
      <c r="A25" s="137" t="s">
        <v>510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511</v>
      </c>
      <c r="B27" s="54"/>
      <c r="C27" s="54"/>
      <c r="D27" s="54"/>
      <c r="E27" s="54"/>
      <c r="F27" s="54"/>
    </row>
    <row r="28" spans="1:6" ht="14.25" x14ac:dyDescent="0.45">
      <c r="A28" s="137" t="s">
        <v>512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ht="14.25" x14ac:dyDescent="0.45">
      <c r="A31" s="137" t="s">
        <v>498</v>
      </c>
      <c r="B31" s="60"/>
      <c r="C31" s="60"/>
      <c r="D31" s="60"/>
      <c r="E31" s="60"/>
      <c r="F31" s="60"/>
    </row>
    <row r="32" spans="1:6" ht="14.25" x14ac:dyDescent="0.45">
      <c r="A32" s="137" t="s">
        <v>502</v>
      </c>
      <c r="B32" s="60"/>
      <c r="C32" s="60"/>
      <c r="D32" s="60"/>
      <c r="E32" s="60"/>
      <c r="F32" s="60"/>
    </row>
    <row r="33" spans="1:6" ht="14.25" x14ac:dyDescent="0.45">
      <c r="A33" s="137" t="s">
        <v>514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ht="14.25" x14ac:dyDescent="0.45">
      <c r="A38" s="137" t="s">
        <v>518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519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 t="str">
        <f>'Formato 8'!B6</f>
        <v>NO APLICA</v>
      </c>
      <c r="Q3" s="18" t="str">
        <f>'Formato 8'!C6</f>
        <v>NO APLICA</v>
      </c>
      <c r="R3" s="18" t="str">
        <f>'Formato 8'!D6</f>
        <v>NO APLICA</v>
      </c>
      <c r="S3" s="18" t="str">
        <f>'Formato 8'!E6</f>
        <v>NO APLICA</v>
      </c>
      <c r="T3" s="18" t="str">
        <f>'Formato 8'!F6</f>
        <v>NO APLICA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 t="str">
        <f>'Formato 8'!B7</f>
        <v>NO APLICA</v>
      </c>
      <c r="Q4" s="18" t="str">
        <f>'Formato 8'!C7</f>
        <v>NO APLICA</v>
      </c>
      <c r="R4" s="18" t="str">
        <f>'Formato 8'!D7</f>
        <v>NO APLICA</v>
      </c>
      <c r="S4" s="18" t="str">
        <f>'Formato 8'!E7</f>
        <v>NO APLICA</v>
      </c>
      <c r="T4" s="18" t="str">
        <f>'Formato 8'!F7</f>
        <v>NO APLICA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A22" zoomScale="90" zoomScaleNormal="90" workbookViewId="0">
      <selection activeCell="E9" sqref="E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2017 y al 30 de junio de 2018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3276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5531439.6900000004</v>
      </c>
      <c r="C9" s="60">
        <f>SUM(C10:C16)</f>
        <v>6572750.6299999999</v>
      </c>
      <c r="D9" s="100" t="s">
        <v>54</v>
      </c>
      <c r="E9" s="60">
        <f>SUM(E10:E18)</f>
        <v>329191.14</v>
      </c>
      <c r="F9" s="60">
        <f>SUM(F10:F18)</f>
        <v>112942.7</v>
      </c>
    </row>
    <row r="10" spans="1:6" x14ac:dyDescent="0.25">
      <c r="A10" s="96" t="s">
        <v>4</v>
      </c>
      <c r="B10" s="60"/>
      <c r="C10" s="60"/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/>
      <c r="C11" s="60"/>
      <c r="D11" s="101" t="s">
        <v>56</v>
      </c>
      <c r="E11" s="60">
        <v>297296.02</v>
      </c>
      <c r="F11" s="60">
        <v>19269.84</v>
      </c>
    </row>
    <row r="12" spans="1:6" x14ac:dyDescent="0.25">
      <c r="A12" s="96" t="s">
        <v>6</v>
      </c>
      <c r="B12" s="77">
        <v>5531439.6900000004</v>
      </c>
      <c r="C12" s="60">
        <v>6572750.6299999999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/>
      <c r="C13" s="60"/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/>
      <c r="C14" s="60"/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/>
      <c r="C15" s="60"/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/>
      <c r="C16" s="60"/>
      <c r="D16" s="101" t="s">
        <v>61</v>
      </c>
      <c r="E16" s="60">
        <v>29672.12</v>
      </c>
      <c r="F16" s="60">
        <v>93248.86</v>
      </c>
    </row>
    <row r="17" spans="1:6" x14ac:dyDescent="0.25">
      <c r="A17" s="95" t="s">
        <v>11</v>
      </c>
      <c r="B17" s="60">
        <f>SUM(B18:B24)</f>
        <v>8670342.25</v>
      </c>
      <c r="C17" s="60">
        <f>SUM(C18:C24)</f>
        <v>8536407.620000001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/>
      <c r="C18" s="60"/>
      <c r="D18" s="101" t="s">
        <v>63</v>
      </c>
      <c r="E18" s="60">
        <v>2223</v>
      </c>
      <c r="F18" s="60">
        <v>424</v>
      </c>
    </row>
    <row r="19" spans="1:6" x14ac:dyDescent="0.25">
      <c r="A19" s="97" t="s">
        <v>13</v>
      </c>
      <c r="B19" s="60">
        <v>4687909.18</v>
      </c>
      <c r="C19" s="60">
        <v>4689686.03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/>
      <c r="C21" s="60"/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3500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3978933.07</v>
      </c>
      <c r="C24" s="60">
        <v>3846721.59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/>
      <c r="C29" s="60"/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/>
      <c r="C30" s="60"/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14201781.940000001</v>
      </c>
      <c r="C47" s="61">
        <f>C9+C17+C25+C31+C38+C41</f>
        <v>15109158.25</v>
      </c>
      <c r="D47" s="99" t="s">
        <v>91</v>
      </c>
      <c r="E47" s="61">
        <f>E9+E19+E23+E26+E27+E31+E38+E42</f>
        <v>329191.14</v>
      </c>
      <c r="F47" s="61">
        <f>F9+F19+F23+F26+F27+F31+F38+F42</f>
        <v>112942.7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975561.67</v>
      </c>
      <c r="C51" s="60">
        <v>771299.92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61112289.740000002</v>
      </c>
      <c r="C52" s="60">
        <v>61010921.539999999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1265221.92</v>
      </c>
      <c r="C53" s="60">
        <v>1303027.19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11427.16</v>
      </c>
      <c r="C54" s="60">
        <v>11427.16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-1199927.17</v>
      </c>
      <c r="C55" s="60">
        <v>-1199927.17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329191.14</v>
      </c>
      <c r="F59" s="61">
        <f>F47+F57</f>
        <v>112942.7</v>
      </c>
    </row>
    <row r="60" spans="1:6" x14ac:dyDescent="0.25">
      <c r="A60" s="55" t="s">
        <v>50</v>
      </c>
      <c r="B60" s="61">
        <f>SUM(B50:B58)</f>
        <v>62164573.32</v>
      </c>
      <c r="C60" s="61">
        <f>SUM(C50:C58)</f>
        <v>61896748.639999993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76366355.260000005</v>
      </c>
      <c r="C62" s="61">
        <f>SUM(C47+C60)</f>
        <v>77005906.889999986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27522948.460000001</v>
      </c>
      <c r="F63" s="77">
        <f>SUM(F64:F66)</f>
        <v>27390736.98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27522948.460000001</v>
      </c>
      <c r="F65" s="77">
        <v>27390736.98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48514215.659999996</v>
      </c>
      <c r="F68" s="77">
        <f>SUM(F69:F73)</f>
        <v>49502227.210000001</v>
      </c>
    </row>
    <row r="69" spans="1:6" x14ac:dyDescent="0.25">
      <c r="A69" s="12"/>
      <c r="B69" s="54"/>
      <c r="C69" s="54"/>
      <c r="D69" s="103" t="s">
        <v>107</v>
      </c>
      <c r="E69" s="77">
        <v>-918261.55</v>
      </c>
      <c r="F69" s="77">
        <v>2488554.2999999998</v>
      </c>
    </row>
    <row r="70" spans="1:6" x14ac:dyDescent="0.25">
      <c r="A70" s="12"/>
      <c r="B70" s="54"/>
      <c r="C70" s="54"/>
      <c r="D70" s="103" t="s">
        <v>108</v>
      </c>
      <c r="E70" s="77">
        <v>6623146.8899999997</v>
      </c>
      <c r="F70" s="77">
        <v>4134592.59</v>
      </c>
    </row>
    <row r="71" spans="1:6" x14ac:dyDescent="0.25">
      <c r="A71" s="12"/>
      <c r="B71" s="54"/>
      <c r="C71" s="54"/>
      <c r="D71" s="103" t="s">
        <v>109</v>
      </c>
      <c r="E71" s="77">
        <v>39656038.100000001</v>
      </c>
      <c r="F71" s="77">
        <v>39656038.100000001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3153292.22</v>
      </c>
      <c r="F73" s="77">
        <v>3223042.22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76037164.120000005</v>
      </c>
      <c r="F79" s="61">
        <f>F63+F68+F75</f>
        <v>76892964.189999998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76366355.260000005</v>
      </c>
      <c r="F81" s="61">
        <f>F59+F79</f>
        <v>77005906.890000001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5531439.6900000004</v>
      </c>
      <c r="Q4" s="18">
        <f>'Formato 1'!C9</f>
        <v>6572750.6299999999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5531439.6900000004</v>
      </c>
      <c r="Q7" s="18">
        <f>'Formato 1'!C12</f>
        <v>6572750.6299999999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8670342.25</v>
      </c>
      <c r="Q12" s="18">
        <f>'Formato 1'!C17</f>
        <v>8536407.620000001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4687909.18</v>
      </c>
      <c r="Q14" s="18">
        <f>'Formato 1'!C19</f>
        <v>4689686.03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3500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3978933.07</v>
      </c>
      <c r="Q19" s="18">
        <f>'Formato 1'!C24</f>
        <v>3846721.59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14201781.940000001</v>
      </c>
      <c r="Q42" s="18">
        <f>'Formato 1'!C47</f>
        <v>15109158.25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975561.67</v>
      </c>
      <c r="Q45">
        <f>'Formato 1'!C51</f>
        <v>771299.92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61112289.740000002</v>
      </c>
      <c r="Q46">
        <f>'Formato 1'!C52</f>
        <v>61010921.539999999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1265221.92</v>
      </c>
      <c r="Q47">
        <f>'Formato 1'!C53</f>
        <v>1303027.19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11427.16</v>
      </c>
      <c r="Q48">
        <f>'Formato 1'!C54</f>
        <v>11427.16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-1199927.17</v>
      </c>
      <c r="Q49">
        <f>'Formato 1'!C55</f>
        <v>-1199927.17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62164573.32</v>
      </c>
      <c r="Q53">
        <f>'Formato 1'!C60</f>
        <v>61896748.639999993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76366355.260000005</v>
      </c>
      <c r="Q54">
        <f>'Formato 1'!C62</f>
        <v>77005906.889999986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329191.14</v>
      </c>
      <c r="Q57">
        <f>'Formato 1'!F9</f>
        <v>112942.7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297296.02</v>
      </c>
      <c r="Q59">
        <f>'Formato 1'!F11</f>
        <v>19269.84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29672.12</v>
      </c>
      <c r="Q64">
        <f>'Formato 1'!F16</f>
        <v>93248.86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2223</v>
      </c>
      <c r="Q66">
        <f>'Formato 1'!F18</f>
        <v>424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329191.14</v>
      </c>
      <c r="Q95">
        <f>'Formato 1'!F47</f>
        <v>112942.7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329191.14</v>
      </c>
      <c r="Q104">
        <f>'Formato 1'!F59</f>
        <v>112942.7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27522948.460000001</v>
      </c>
      <c r="Q106">
        <f>'Formato 1'!F63</f>
        <v>27390736.98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27522948.460000001</v>
      </c>
      <c r="Q108">
        <f>'Formato 1'!F65</f>
        <v>27390736.98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48514215.659999996</v>
      </c>
      <c r="Q110">
        <f>'Formato 1'!F68</f>
        <v>49502227.210000001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-918261.55</v>
      </c>
      <c r="Q111">
        <f>'Formato 1'!F69</f>
        <v>2488554.2999999998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6623146.8899999997</v>
      </c>
      <c r="Q112">
        <f>'Formato 1'!F70</f>
        <v>4134592.59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39656038.100000001</v>
      </c>
      <c r="Q113">
        <f>'Formato 1'!F71</f>
        <v>39656038.100000001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3153292.22</v>
      </c>
      <c r="Q115">
        <f>'Formato 1'!F73</f>
        <v>3223042.22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76037164.120000005</v>
      </c>
      <c r="Q119">
        <f>'Formato 1'!F79</f>
        <v>76892964.189999998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76366355.260000005</v>
      </c>
      <c r="Q120">
        <f>'Formato 1'!F81</f>
        <v>77005906.890000001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6" zoomScale="90" zoomScaleNormal="90" workbookViewId="0">
      <selection activeCell="A33" sqref="A33:H3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2017 y al 30 de junio de 2018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112942.7</v>
      </c>
      <c r="C18" s="132"/>
      <c r="D18" s="132"/>
      <c r="E18" s="132"/>
      <c r="F18" s="61">
        <v>329191.14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112942.7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329191.14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112942.7</v>
      </c>
      <c r="Q12" s="18"/>
      <c r="R12" s="18"/>
      <c r="S12" s="18"/>
      <c r="T12" s="18">
        <f>'Formato 2'!F18</f>
        <v>329191.14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112942.7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329191.14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19" sqref="A1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junio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3297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3298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3299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3300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156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3301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3302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3303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3304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157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Oficina 2</cp:lastModifiedBy>
  <cp:lastPrinted>2017-02-04T00:56:20Z</cp:lastPrinted>
  <dcterms:created xsi:type="dcterms:W3CDTF">2017-01-19T17:59:06Z</dcterms:created>
  <dcterms:modified xsi:type="dcterms:W3CDTF">2018-07-18T20:59:32Z</dcterms:modified>
</cp:coreProperties>
</file>