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2018\SEGUNDO TRIMESTRE\DIGITALE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3'!$A$17</definedName>
    <definedName name="APP_FIN_01">'Formato 3'!$B$17</definedName>
    <definedName name="APP_FIN_02">'Formato 3'!$C$17</definedName>
    <definedName name="APP_FIN_03">'Formato 3'!$D$17</definedName>
    <definedName name="APP_FIN_04">'Formato 3'!$E$17</definedName>
    <definedName name="APP_FIN_05">'Formato 3'!$F$17</definedName>
    <definedName name="APP_FIN_06">'Formato 3'!$G$17</definedName>
    <definedName name="APP_FIN_07">'Formato 3'!$H$17</definedName>
    <definedName name="APP_FIN_08">'Formato 3'!$I$17</definedName>
    <definedName name="APP_FIN_09">'Formato 3'!$J$17</definedName>
    <definedName name="APP_FIN_10">'Formato 3'!$K$17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3'!$A$18</definedName>
    <definedName name="OTROS_FIN">'Formato 3'!$A$23</definedName>
    <definedName name="OTROS_FIN_01">'Formato 3'!$B$23</definedName>
    <definedName name="OTROS_FIN_02">'Formato 3'!$C$23</definedName>
    <definedName name="OTROS_FIN_03">'Formato 3'!$D$23</definedName>
    <definedName name="OTROS_FIN_04">'Formato 3'!$E$23</definedName>
    <definedName name="OTROS_FIN_05">'Formato 3'!$F$23</definedName>
    <definedName name="OTROS_FIN_06">'Formato 3'!$G$23</definedName>
    <definedName name="OTROS_FIN_07">'Formato 3'!$H$23</definedName>
    <definedName name="OTROS_FIN_08">'Formato 3'!$I$23</definedName>
    <definedName name="OTROS_FIN_09">'Formato 3'!$J$23</definedName>
    <definedName name="OTROS_FIN_10">'Formato 3'!$K$23</definedName>
    <definedName name="OTROS_T1">'Formato 3'!$B$18</definedName>
    <definedName name="OTROS_T10">'Formato 3'!$K$18</definedName>
    <definedName name="OTROS_T2">'Formato 3'!$C$18</definedName>
    <definedName name="OTROS_T3">'Formato 3'!$D$18</definedName>
    <definedName name="OTROS_T4">'Formato 3'!$E$18</definedName>
    <definedName name="OTROS_T5">'Formato 3'!$F$18</definedName>
    <definedName name="OTROS_T6">'Formato 3'!$G$18</definedName>
    <definedName name="OTROS_T7">'Formato 3'!$H$18</definedName>
    <definedName name="OTROS_T8">'Formato 3'!$I$18</definedName>
    <definedName name="OTROS_T9">'Formato 3'!$J$18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3'!$A$24</definedName>
    <definedName name="TOTAL_ODF_T1">'Formato 3'!$B$24</definedName>
    <definedName name="TOTAL_ODF_T10">'Formato 3'!$K$24</definedName>
    <definedName name="TOTAL_ODF_T2">'Formato 3'!$C$24</definedName>
    <definedName name="TOTAL_ODF_T3">'Formato 3'!$D$24</definedName>
    <definedName name="TOTAL_ODF_T4">'Formato 3'!$E$24</definedName>
    <definedName name="TOTAL_ODF_T5">'Formato 3'!$F$24</definedName>
    <definedName name="TOTAL_ODF_T6">'Formato 3'!$G$24</definedName>
    <definedName name="TOTAL_ODF_T7">'Formato 3'!$H$24</definedName>
    <definedName name="TOTAL_ODF_T8">'Formato 3'!$I$24</definedName>
    <definedName name="TOTAL_ODF_T9">'Formato 3'!$J$24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9" l="1"/>
  <c r="D27" i="6"/>
  <c r="D26" i="6"/>
  <c r="D25" i="6"/>
  <c r="D24" i="6"/>
  <c r="D23" i="6"/>
  <c r="D22" i="6"/>
  <c r="D21" i="6"/>
  <c r="D20" i="6"/>
  <c r="D19" i="6"/>
  <c r="B59" i="5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K13" i="3" l="1"/>
  <c r="K14" i="3"/>
  <c r="K15" i="3"/>
  <c r="K16" i="3"/>
  <c r="B9" i="1" l="1"/>
  <c r="C9" i="1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U21" i="27" s="1"/>
  <c r="G26" i="9"/>
  <c r="G27" i="9"/>
  <c r="G25" i="9"/>
  <c r="G23" i="9"/>
  <c r="U15" i="27" s="1"/>
  <c r="G22" i="9"/>
  <c r="G19" i="9"/>
  <c r="G18" i="9"/>
  <c r="G17" i="9"/>
  <c r="G16" i="9" s="1"/>
  <c r="U9" i="27" s="1"/>
  <c r="G14" i="9"/>
  <c r="G15" i="9"/>
  <c r="G13" i="9"/>
  <c r="U6" i="27" s="1"/>
  <c r="G11" i="9"/>
  <c r="G10" i="9"/>
  <c r="U3" i="27" s="1"/>
  <c r="G73" i="8"/>
  <c r="U65" i="26" s="1"/>
  <c r="G74" i="8"/>
  <c r="U66" i="26" s="1"/>
  <c r="G75" i="8"/>
  <c r="U67" i="26" s="1"/>
  <c r="G72" i="8"/>
  <c r="G63" i="8"/>
  <c r="U55" i="26" s="1"/>
  <c r="G64" i="8"/>
  <c r="U56" i="26" s="1"/>
  <c r="G65" i="8"/>
  <c r="G66" i="8"/>
  <c r="G67" i="8"/>
  <c r="G68" i="8"/>
  <c r="G69" i="8"/>
  <c r="G70" i="8"/>
  <c r="U62" i="26" s="1"/>
  <c r="G62" i="8"/>
  <c r="G55" i="8"/>
  <c r="U47" i="26" s="1"/>
  <c r="G56" i="8"/>
  <c r="G57" i="8"/>
  <c r="U49" i="26" s="1"/>
  <c r="G58" i="8"/>
  <c r="G59" i="8"/>
  <c r="U51" i="26" s="1"/>
  <c r="G60" i="8"/>
  <c r="G54" i="8"/>
  <c r="G46" i="8"/>
  <c r="U38" i="26" s="1"/>
  <c r="G47" i="8"/>
  <c r="U39" i="26" s="1"/>
  <c r="G48" i="8"/>
  <c r="G49" i="8"/>
  <c r="U41" i="26" s="1"/>
  <c r="G50" i="8"/>
  <c r="U42" i="26" s="1"/>
  <c r="G51" i="8"/>
  <c r="U43" i="26" s="1"/>
  <c r="G52" i="8"/>
  <c r="G45" i="8"/>
  <c r="U37" i="26" s="1"/>
  <c r="G39" i="8"/>
  <c r="G40" i="8"/>
  <c r="G37" i="8" s="1"/>
  <c r="U30" i="26" s="1"/>
  <c r="G41" i="8"/>
  <c r="G38" i="8"/>
  <c r="G11" i="8"/>
  <c r="G12" i="8"/>
  <c r="G13" i="8"/>
  <c r="G14" i="8"/>
  <c r="G15" i="8"/>
  <c r="G16" i="8"/>
  <c r="U9" i="26" s="1"/>
  <c r="G17" i="8"/>
  <c r="G18" i="8"/>
  <c r="G20" i="8"/>
  <c r="G21" i="8"/>
  <c r="U14" i="26" s="1"/>
  <c r="G22" i="8"/>
  <c r="G23" i="8"/>
  <c r="G24" i="8"/>
  <c r="U17" i="26" s="1"/>
  <c r="G25" i="8"/>
  <c r="U18" i="26" s="1"/>
  <c r="G26" i="8"/>
  <c r="G28" i="8"/>
  <c r="G29" i="8"/>
  <c r="U22" i="26" s="1"/>
  <c r="G30" i="8"/>
  <c r="U23" i="26" s="1"/>
  <c r="G31" i="8"/>
  <c r="G32" i="8"/>
  <c r="G33" i="8"/>
  <c r="U26" i="26" s="1"/>
  <c r="G34" i="8"/>
  <c r="U27" i="26" s="1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P21" i="24" s="1"/>
  <c r="B38" i="6"/>
  <c r="B48" i="6"/>
  <c r="P41" i="24" s="1"/>
  <c r="B58" i="6"/>
  <c r="B71" i="6"/>
  <c r="B75" i="6"/>
  <c r="G152" i="6"/>
  <c r="G150" i="6" s="1"/>
  <c r="U142" i="24" s="1"/>
  <c r="G153" i="6"/>
  <c r="G154" i="6"/>
  <c r="G155" i="6"/>
  <c r="U147" i="24" s="1"/>
  <c r="G156" i="6"/>
  <c r="U148" i="24" s="1"/>
  <c r="G157" i="6"/>
  <c r="G151" i="6"/>
  <c r="G148" i="6"/>
  <c r="U140" i="24" s="1"/>
  <c r="G149" i="6"/>
  <c r="G146" i="6" s="1"/>
  <c r="U138" i="24" s="1"/>
  <c r="G147" i="6"/>
  <c r="G139" i="6"/>
  <c r="G140" i="6"/>
  <c r="G141" i="6"/>
  <c r="U133" i="24" s="1"/>
  <c r="G142" i="6"/>
  <c r="G143" i="6"/>
  <c r="G144" i="6"/>
  <c r="G145" i="6"/>
  <c r="U137" i="24" s="1"/>
  <c r="G138" i="6"/>
  <c r="G135" i="6"/>
  <c r="G136" i="6"/>
  <c r="U128" i="24" s="1"/>
  <c r="G134" i="6"/>
  <c r="G133" i="6" s="1"/>
  <c r="U125" i="24" s="1"/>
  <c r="G125" i="6"/>
  <c r="G126" i="6"/>
  <c r="G127" i="6"/>
  <c r="G123" i="6" s="1"/>
  <c r="U115" i="24" s="1"/>
  <c r="G128" i="6"/>
  <c r="U120" i="24" s="1"/>
  <c r="G129" i="6"/>
  <c r="G130" i="6"/>
  <c r="G131" i="6"/>
  <c r="U123" i="24" s="1"/>
  <c r="G132" i="6"/>
  <c r="U124" i="24" s="1"/>
  <c r="G124" i="6"/>
  <c r="G115" i="6"/>
  <c r="G116" i="6"/>
  <c r="G113" i="6" s="1"/>
  <c r="U105" i="24" s="1"/>
  <c r="G117" i="6"/>
  <c r="U109" i="24" s="1"/>
  <c r="G118" i="6"/>
  <c r="G119" i="6"/>
  <c r="G120" i="6"/>
  <c r="U112" i="24" s="1"/>
  <c r="G121" i="6"/>
  <c r="U113" i="24" s="1"/>
  <c r="G122" i="6"/>
  <c r="G114" i="6"/>
  <c r="G105" i="6"/>
  <c r="G106" i="6"/>
  <c r="G107" i="6"/>
  <c r="G108" i="6"/>
  <c r="G109" i="6"/>
  <c r="U101" i="24" s="1"/>
  <c r="G110" i="6"/>
  <c r="G111" i="6"/>
  <c r="G112" i="6"/>
  <c r="G104" i="6"/>
  <c r="G103" i="6" s="1"/>
  <c r="G95" i="6"/>
  <c r="U87" i="24" s="1"/>
  <c r="G96" i="6"/>
  <c r="G97" i="6"/>
  <c r="G98" i="6"/>
  <c r="G99" i="6"/>
  <c r="U91" i="24" s="1"/>
  <c r="G100" i="6"/>
  <c r="G101" i="6"/>
  <c r="G102" i="6"/>
  <c r="G94" i="6"/>
  <c r="U86" i="24" s="1"/>
  <c r="G87" i="6"/>
  <c r="G88" i="6"/>
  <c r="G89" i="6"/>
  <c r="U81" i="24" s="1"/>
  <c r="G90" i="6"/>
  <c r="G85" i="6" s="1"/>
  <c r="U77" i="24" s="1"/>
  <c r="G91" i="6"/>
  <c r="G92" i="6"/>
  <c r="G86" i="6"/>
  <c r="U78" i="24" s="1"/>
  <c r="G77" i="6"/>
  <c r="G75" i="6" s="1"/>
  <c r="U68" i="24" s="1"/>
  <c r="G78" i="6"/>
  <c r="G79" i="6"/>
  <c r="G80" i="6"/>
  <c r="G81" i="6"/>
  <c r="G82" i="6"/>
  <c r="G76" i="6"/>
  <c r="G73" i="6"/>
  <c r="G74" i="6"/>
  <c r="G71" i="6" s="1"/>
  <c r="U64" i="24" s="1"/>
  <c r="G72" i="6"/>
  <c r="G64" i="6"/>
  <c r="G65" i="6"/>
  <c r="U58" i="24" s="1"/>
  <c r="G66" i="6"/>
  <c r="U59" i="24" s="1"/>
  <c r="G67" i="6"/>
  <c r="G68" i="6"/>
  <c r="G69" i="6"/>
  <c r="U62" i="24" s="1"/>
  <c r="G70" i="6"/>
  <c r="U63" i="24" s="1"/>
  <c r="G63" i="6"/>
  <c r="G60" i="6"/>
  <c r="G61" i="6"/>
  <c r="G59" i="6"/>
  <c r="G58" i="6" s="1"/>
  <c r="U51" i="24" s="1"/>
  <c r="G50" i="6"/>
  <c r="G51" i="6"/>
  <c r="G52" i="6"/>
  <c r="G53" i="6"/>
  <c r="U46" i="24" s="1"/>
  <c r="G54" i="6"/>
  <c r="G55" i="6"/>
  <c r="G56" i="6"/>
  <c r="G57" i="6"/>
  <c r="G49" i="6"/>
  <c r="G40" i="6"/>
  <c r="G41" i="6"/>
  <c r="G42" i="6"/>
  <c r="G43" i="6"/>
  <c r="G44" i="6"/>
  <c r="G45" i="6"/>
  <c r="U38" i="24" s="1"/>
  <c r="G46" i="6"/>
  <c r="U39" i="24" s="1"/>
  <c r="G47" i="6"/>
  <c r="G39" i="6"/>
  <c r="G30" i="6"/>
  <c r="G31" i="6"/>
  <c r="G32" i="6"/>
  <c r="G33" i="6"/>
  <c r="G34" i="6"/>
  <c r="G35" i="6"/>
  <c r="G36" i="6"/>
  <c r="G37" i="6"/>
  <c r="G29" i="6"/>
  <c r="G28" i="6" s="1"/>
  <c r="U21" i="24" s="1"/>
  <c r="G20" i="6"/>
  <c r="U13" i="24" s="1"/>
  <c r="G21" i="6"/>
  <c r="G22" i="6"/>
  <c r="G23" i="6"/>
  <c r="U16" i="24" s="1"/>
  <c r="G24" i="6"/>
  <c r="U17" i="24" s="1"/>
  <c r="G25" i="6"/>
  <c r="G26" i="6"/>
  <c r="G27" i="6"/>
  <c r="U20" i="24" s="1"/>
  <c r="G19" i="6"/>
  <c r="U12" i="24" s="1"/>
  <c r="G11" i="6"/>
  <c r="B7" i="13"/>
  <c r="B29" i="13" s="1"/>
  <c r="P22" i="31" s="1"/>
  <c r="G12" i="6"/>
  <c r="G13" i="6"/>
  <c r="U6" i="24" s="1"/>
  <c r="G14" i="6"/>
  <c r="G15" i="6"/>
  <c r="G16" i="6"/>
  <c r="G17" i="6"/>
  <c r="U10" i="24" s="1"/>
  <c r="U5" i="20"/>
  <c r="U9" i="20"/>
  <c r="U10" i="20"/>
  <c r="G29" i="5"/>
  <c r="G30" i="5"/>
  <c r="G31" i="5"/>
  <c r="G32" i="5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 s="1"/>
  <c r="D18" i="13"/>
  <c r="R12" i="31"/>
  <c r="E18" i="13"/>
  <c r="S12" i="31" s="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/>
  <c r="R22" i="31"/>
  <c r="E7" i="13"/>
  <c r="E29" i="13" s="1"/>
  <c r="S22" i="31" s="1"/>
  <c r="F7" i="13"/>
  <c r="F29" i="13" s="1"/>
  <c r="T22" i="31" s="1"/>
  <c r="G7" i="13"/>
  <c r="U2" i="31" s="1"/>
  <c r="G29" i="13"/>
  <c r="U22" i="31" s="1"/>
  <c r="Q2" i="31"/>
  <c r="R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D31" i="12"/>
  <c r="R23" i="30" s="1"/>
  <c r="E7" i="12"/>
  <c r="E31" i="12"/>
  <c r="S23" i="30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 s="1"/>
  <c r="E8" i="11"/>
  <c r="E30" i="11"/>
  <c r="S22" i="29"/>
  <c r="F8" i="11"/>
  <c r="F30" i="11" s="1"/>
  <c r="T22" i="29" s="1"/>
  <c r="G8" i="11"/>
  <c r="G30" i="11" s="1"/>
  <c r="U22" i="29" s="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D16" i="9"/>
  <c r="D9" i="9"/>
  <c r="R2" i="27" s="1"/>
  <c r="E12" i="9"/>
  <c r="E16" i="9"/>
  <c r="E9" i="9"/>
  <c r="S2" i="27" s="1"/>
  <c r="F12" i="9"/>
  <c r="F16" i="9"/>
  <c r="T9" i="27" s="1"/>
  <c r="Q3" i="27"/>
  <c r="R3" i="27"/>
  <c r="S3" i="27"/>
  <c r="T3" i="27"/>
  <c r="Q4" i="27"/>
  <c r="R4" i="27"/>
  <c r="S4" i="27"/>
  <c r="T4" i="27"/>
  <c r="U4" i="27"/>
  <c r="R5" i="27"/>
  <c r="S5" i="27"/>
  <c r="T5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R9" i="27"/>
  <c r="S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1" i="9" s="1"/>
  <c r="D28" i="9"/>
  <c r="E24" i="9"/>
  <c r="E28" i="9"/>
  <c r="S20" i="27" s="1"/>
  <c r="F24" i="9"/>
  <c r="T16" i="27" s="1"/>
  <c r="F28" i="9"/>
  <c r="G24" i="9"/>
  <c r="U16" i="27" s="1"/>
  <c r="G28" i="9"/>
  <c r="U20" i="27" s="1"/>
  <c r="Q14" i="27"/>
  <c r="R14" i="27"/>
  <c r="S14" i="27"/>
  <c r="T14" i="27"/>
  <c r="U14" i="27"/>
  <c r="Q15" i="27"/>
  <c r="R15" i="27"/>
  <c r="S15" i="27"/>
  <c r="T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R3" i="26" s="1"/>
  <c r="D19" i="8"/>
  <c r="D27" i="8"/>
  <c r="D37" i="8"/>
  <c r="D9" i="8" s="1"/>
  <c r="R2" i="26" s="1"/>
  <c r="E10" i="8"/>
  <c r="E19" i="8"/>
  <c r="E27" i="8"/>
  <c r="E37" i="8"/>
  <c r="F10" i="8"/>
  <c r="T3" i="26" s="1"/>
  <c r="F19" i="8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C71" i="8"/>
  <c r="Q63" i="26" s="1"/>
  <c r="D44" i="8"/>
  <c r="D53" i="8"/>
  <c r="R45" i="26" s="1"/>
  <c r="D61" i="8"/>
  <c r="D71" i="8"/>
  <c r="R63" i="26" s="1"/>
  <c r="E44" i="8"/>
  <c r="S36" i="26" s="1"/>
  <c r="E53" i="8"/>
  <c r="E61" i="8"/>
  <c r="S53" i="26" s="1"/>
  <c r="E71" i="8"/>
  <c r="S63" i="26" s="1"/>
  <c r="F44" i="8"/>
  <c r="T36" i="26" s="1"/>
  <c r="F53" i="8"/>
  <c r="T45" i="26" s="1"/>
  <c r="F61" i="8"/>
  <c r="T53" i="26" s="1"/>
  <c r="F71" i="8"/>
  <c r="R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B61" i="8"/>
  <c r="P53" i="26" s="1"/>
  <c r="B71" i="8"/>
  <c r="P63" i="26" s="1"/>
  <c r="B10" i="8"/>
  <c r="B19" i="8"/>
  <c r="B27" i="8"/>
  <c r="B37" i="8"/>
  <c r="B9" i="8"/>
  <c r="P2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T3" i="25" s="1"/>
  <c r="E9" i="7"/>
  <c r="S2" i="25" s="1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C146" i="6"/>
  <c r="Q138" i="24" s="1"/>
  <c r="C150" i="6"/>
  <c r="D85" i="6"/>
  <c r="R77" i="24" s="1"/>
  <c r="D93" i="6"/>
  <c r="D103" i="6"/>
  <c r="R95" i="24" s="1"/>
  <c r="D113" i="6"/>
  <c r="D123" i="6"/>
  <c r="R115" i="24" s="1"/>
  <c r="D133" i="6"/>
  <c r="D146" i="6"/>
  <c r="R138" i="24" s="1"/>
  <c r="D150" i="6"/>
  <c r="R142" i="24" s="1"/>
  <c r="E85" i="6"/>
  <c r="E93" i="6"/>
  <c r="S85" i="24" s="1"/>
  <c r="E103" i="6"/>
  <c r="S95" i="24" s="1"/>
  <c r="E113" i="6"/>
  <c r="S105" i="24" s="1"/>
  <c r="E123" i="6"/>
  <c r="E133" i="6"/>
  <c r="E146" i="6"/>
  <c r="S138" i="24" s="1"/>
  <c r="E150" i="6"/>
  <c r="S142" i="24" s="1"/>
  <c r="F85" i="6"/>
  <c r="T77" i="24" s="1"/>
  <c r="F93" i="6"/>
  <c r="F103" i="6"/>
  <c r="T95" i="24" s="1"/>
  <c r="F113" i="6"/>
  <c r="T105" i="24" s="1"/>
  <c r="F123" i="6"/>
  <c r="T115" i="24" s="1"/>
  <c r="F133" i="6"/>
  <c r="F146" i="6"/>
  <c r="F150" i="6"/>
  <c r="T142" i="24" s="1"/>
  <c r="Q77" i="24"/>
  <c r="S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Q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Q125" i="24"/>
  <c r="R125" i="24"/>
  <c r="S125" i="24"/>
  <c r="T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T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Q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C10" i="6"/>
  <c r="C18" i="6"/>
  <c r="C28" i="6"/>
  <c r="C38" i="6"/>
  <c r="Q31" i="24" s="1"/>
  <c r="C48" i="6"/>
  <c r="C58" i="6"/>
  <c r="C71" i="6"/>
  <c r="Q64" i="24" s="1"/>
  <c r="C75" i="6"/>
  <c r="Q68" i="24" s="1"/>
  <c r="D10" i="6"/>
  <c r="R3" i="24" s="1"/>
  <c r="D18" i="6"/>
  <c r="D28" i="6"/>
  <c r="R21" i="24" s="1"/>
  <c r="D38" i="6"/>
  <c r="R31" i="24" s="1"/>
  <c r="D48" i="6"/>
  <c r="R41" i="24" s="1"/>
  <c r="D58" i="6"/>
  <c r="D71" i="6"/>
  <c r="D75" i="6"/>
  <c r="R68" i="24" s="1"/>
  <c r="E10" i="6"/>
  <c r="S3" i="24" s="1"/>
  <c r="E18" i="6"/>
  <c r="E28" i="6"/>
  <c r="E38" i="6"/>
  <c r="S31" i="24" s="1"/>
  <c r="E48" i="6"/>
  <c r="E58" i="6"/>
  <c r="E71" i="6"/>
  <c r="E75" i="6"/>
  <c r="S68" i="24" s="1"/>
  <c r="F10" i="6"/>
  <c r="T3" i="24" s="1"/>
  <c r="F18" i="6"/>
  <c r="F28" i="6"/>
  <c r="F38" i="6"/>
  <c r="T31" i="24" s="1"/>
  <c r="F48" i="6"/>
  <c r="T41" i="24" s="1"/>
  <c r="F58" i="6"/>
  <c r="F71" i="6"/>
  <c r="T64" i="24" s="1"/>
  <c r="F75" i="6"/>
  <c r="T68" i="24" s="1"/>
  <c r="B85" i="6"/>
  <c r="P77" i="24" s="1"/>
  <c r="B93" i="6"/>
  <c r="P85" i="24" s="1"/>
  <c r="B103" i="6"/>
  <c r="B113" i="6"/>
  <c r="B123" i="6"/>
  <c r="P115" i="24" s="1"/>
  <c r="B133" i="6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S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U40" i="24"/>
  <c r="Q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R64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7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3" i="20"/>
  <c r="G46" i="5"/>
  <c r="G47" i="5"/>
  <c r="G48" i="5"/>
  <c r="U40" i="20" s="1"/>
  <c r="G49" i="5"/>
  <c r="U41" i="20" s="1"/>
  <c r="G50" i="5"/>
  <c r="G51" i="5"/>
  <c r="U43" i="20" s="1"/>
  <c r="G52" i="5"/>
  <c r="U44" i="20" s="1"/>
  <c r="G53" i="5"/>
  <c r="U45" i="20" s="1"/>
  <c r="U38" i="20"/>
  <c r="U39" i="20"/>
  <c r="U42" i="20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/>
  <c r="G63" i="5"/>
  <c r="U55" i="20" s="1"/>
  <c r="G68" i="5"/>
  <c r="G67" i="5"/>
  <c r="U57" i="20" s="1"/>
  <c r="U58" i="20"/>
  <c r="G73" i="5"/>
  <c r="U60" i="20"/>
  <c r="G74" i="5"/>
  <c r="G75" i="5" s="1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C67" i="5"/>
  <c r="Q57" i="20" s="1"/>
  <c r="D67" i="5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 s="1"/>
  <c r="P60" i="20"/>
  <c r="P58" i="20"/>
  <c r="B67" i="5"/>
  <c r="P57" i="20" s="1"/>
  <c r="B45" i="5"/>
  <c r="B54" i="5"/>
  <c r="P46" i="20" s="1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0" s="1"/>
  <c r="H23" i="23"/>
  <c r="F6" i="11" s="1"/>
  <c r="G23" i="23"/>
  <c r="E6" i="11" s="1"/>
  <c r="F23" i="23"/>
  <c r="D6" i="11" s="1"/>
  <c r="E23" i="23"/>
  <c r="C6" i="10" s="1"/>
  <c r="D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8" i="3"/>
  <c r="Y4" i="17" s="1"/>
  <c r="J18" i="3"/>
  <c r="X4" i="17" s="1"/>
  <c r="I18" i="3"/>
  <c r="I8" i="3"/>
  <c r="H18" i="3"/>
  <c r="V4" i="17" s="1"/>
  <c r="G18" i="3"/>
  <c r="U4" i="17" s="1"/>
  <c r="E18" i="3"/>
  <c r="K9" i="3"/>
  <c r="K10" i="3"/>
  <c r="K11" i="3"/>
  <c r="K12" i="3"/>
  <c r="J8" i="3"/>
  <c r="J24" i="3" s="1"/>
  <c r="X5" i="17" s="1"/>
  <c r="H8" i="3"/>
  <c r="G8" i="3"/>
  <c r="G24" i="3" s="1"/>
  <c r="U5" i="17" s="1"/>
  <c r="E8" i="3"/>
  <c r="E24" i="3" s="1"/>
  <c r="S5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17" i="1"/>
  <c r="C25" i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D68" i="4"/>
  <c r="R36" i="18" s="1"/>
  <c r="C64" i="4"/>
  <c r="Q33" i="18" s="1"/>
  <c r="D64" i="4"/>
  <c r="R33" i="18" s="1"/>
  <c r="C63" i="4"/>
  <c r="D63" i="4"/>
  <c r="C48" i="4"/>
  <c r="Q26" i="18" s="1"/>
  <c r="C55" i="4"/>
  <c r="D55" i="4"/>
  <c r="R31" i="18" s="1"/>
  <c r="C53" i="4"/>
  <c r="D53" i="4"/>
  <c r="D48" i="4"/>
  <c r="C49" i="4"/>
  <c r="Q27" i="18" s="1"/>
  <c r="D49" i="4"/>
  <c r="C29" i="4"/>
  <c r="Q15" i="18" s="1"/>
  <c r="D29" i="4"/>
  <c r="C40" i="4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W4" i="17"/>
  <c r="S4" i="17"/>
  <c r="Q17" i="16"/>
  <c r="T15" i="16"/>
  <c r="Q14" i="16"/>
  <c r="C13" i="2"/>
  <c r="Q8" i="16"/>
  <c r="D13" i="2"/>
  <c r="R8" i="16"/>
  <c r="E13" i="2"/>
  <c r="S8" i="16"/>
  <c r="T8" i="16"/>
  <c r="G13" i="2"/>
  <c r="H13" i="2"/>
  <c r="V8" i="16"/>
  <c r="B13" i="2"/>
  <c r="P8" i="16" s="1"/>
  <c r="C9" i="2"/>
  <c r="Q4" i="16" s="1"/>
  <c r="D9" i="2"/>
  <c r="E9" i="2"/>
  <c r="E8" i="2" s="1"/>
  <c r="E20" i="2" s="1"/>
  <c r="S13" i="16" s="1"/>
  <c r="S4" i="16"/>
  <c r="F9" i="2"/>
  <c r="G9" i="2"/>
  <c r="G8" i="2" s="1"/>
  <c r="G20" i="2" s="1"/>
  <c r="U13" i="16" s="1"/>
  <c r="U4" i="16"/>
  <c r="H9" i="2"/>
  <c r="B9" i="2"/>
  <c r="P4" i="16" s="1"/>
  <c r="P4" i="15"/>
  <c r="Q30" i="18"/>
  <c r="Q32" i="18"/>
  <c r="Q36" i="18"/>
  <c r="R15" i="18"/>
  <c r="R26" i="18"/>
  <c r="Q31" i="18"/>
  <c r="R37" i="18"/>
  <c r="R30" i="18"/>
  <c r="U8" i="16"/>
  <c r="C8" i="2"/>
  <c r="C20" i="2" s="1"/>
  <c r="Q13" i="16" s="1"/>
  <c r="B47" i="1"/>
  <c r="P42" i="15" s="1"/>
  <c r="U3" i="16"/>
  <c r="Q67" i="15"/>
  <c r="U3" i="17"/>
  <c r="X3" i="17" l="1"/>
  <c r="C21" i="9"/>
  <c r="Q13" i="27" s="1"/>
  <c r="E21" i="9"/>
  <c r="S13" i="27" s="1"/>
  <c r="B21" i="9"/>
  <c r="B33" i="9" s="1"/>
  <c r="P24" i="27" s="1"/>
  <c r="S16" i="27"/>
  <c r="G21" i="9"/>
  <c r="U13" i="27" s="1"/>
  <c r="F9" i="9"/>
  <c r="T2" i="27" s="1"/>
  <c r="C9" i="9"/>
  <c r="Q2" i="27" s="1"/>
  <c r="Q5" i="27"/>
  <c r="G12" i="9"/>
  <c r="G71" i="8"/>
  <c r="U63" i="26" s="1"/>
  <c r="D43" i="8"/>
  <c r="R35" i="26" s="1"/>
  <c r="C43" i="8"/>
  <c r="Q35" i="26" s="1"/>
  <c r="G61" i="8"/>
  <c r="U53" i="26" s="1"/>
  <c r="E43" i="8"/>
  <c r="S35" i="26" s="1"/>
  <c r="Q53" i="26"/>
  <c r="S45" i="26"/>
  <c r="G53" i="8"/>
  <c r="U45" i="26" s="1"/>
  <c r="B43" i="8"/>
  <c r="P35" i="26" s="1"/>
  <c r="G44" i="8"/>
  <c r="U36" i="26" s="1"/>
  <c r="U33" i="26"/>
  <c r="E9" i="8"/>
  <c r="S2" i="26" s="1"/>
  <c r="F9" i="8"/>
  <c r="T2" i="26" s="1"/>
  <c r="G27" i="8"/>
  <c r="U20" i="26" s="1"/>
  <c r="G19" i="8"/>
  <c r="U12" i="26" s="1"/>
  <c r="U13" i="26"/>
  <c r="G10" i="8"/>
  <c r="G9" i="8" s="1"/>
  <c r="U2" i="26" s="1"/>
  <c r="U5" i="26"/>
  <c r="G19" i="7"/>
  <c r="U3" i="25" s="1"/>
  <c r="B29" i="7"/>
  <c r="P4" i="25" s="1"/>
  <c r="D29" i="7"/>
  <c r="R4" i="25" s="1"/>
  <c r="P2" i="25"/>
  <c r="U144" i="24"/>
  <c r="U141" i="24"/>
  <c r="G137" i="6"/>
  <c r="U129" i="24" s="1"/>
  <c r="U126" i="24"/>
  <c r="U119" i="24"/>
  <c r="U108" i="24"/>
  <c r="U96" i="24"/>
  <c r="F84" i="6"/>
  <c r="T76" i="24" s="1"/>
  <c r="D84" i="6"/>
  <c r="R76" i="24" s="1"/>
  <c r="G93" i="6"/>
  <c r="U85" i="24" s="1"/>
  <c r="R85" i="24"/>
  <c r="U82" i="24"/>
  <c r="U67" i="24"/>
  <c r="G62" i="6"/>
  <c r="U55" i="24" s="1"/>
  <c r="U52" i="24"/>
  <c r="G48" i="6"/>
  <c r="U41" i="24" s="1"/>
  <c r="G38" i="6"/>
  <c r="U31" i="24" s="1"/>
  <c r="U32" i="24"/>
  <c r="U22" i="24"/>
  <c r="D9" i="6"/>
  <c r="C9" i="6"/>
  <c r="Q2" i="24" s="1"/>
  <c r="G18" i="6"/>
  <c r="U11" i="24" s="1"/>
  <c r="G10" i="6"/>
  <c r="U3" i="24" s="1"/>
  <c r="B9" i="6"/>
  <c r="P2" i="24" s="1"/>
  <c r="U61" i="20"/>
  <c r="G59" i="5"/>
  <c r="U51" i="20" s="1"/>
  <c r="E65" i="5"/>
  <c r="S56" i="20" s="1"/>
  <c r="F65" i="5"/>
  <c r="T56" i="20" s="1"/>
  <c r="G37" i="5"/>
  <c r="U31" i="20" s="1"/>
  <c r="G28" i="5"/>
  <c r="U22" i="20" s="1"/>
  <c r="D41" i="5"/>
  <c r="R34" i="20" s="1"/>
  <c r="B41" i="5"/>
  <c r="P34" i="20" s="1"/>
  <c r="T22" i="20"/>
  <c r="U30" i="20"/>
  <c r="F41" i="5"/>
  <c r="T34" i="20" s="1"/>
  <c r="D70" i="5"/>
  <c r="E41" i="5"/>
  <c r="S34" i="20" s="1"/>
  <c r="C70" i="5"/>
  <c r="C44" i="4"/>
  <c r="Q22" i="18"/>
  <c r="C72" i="4"/>
  <c r="D57" i="4"/>
  <c r="D59" i="4" s="1"/>
  <c r="C57" i="4"/>
  <c r="C59" i="4" s="1"/>
  <c r="T14" i="16"/>
  <c r="C29" i="7"/>
  <c r="Q4" i="25" s="1"/>
  <c r="F29" i="7"/>
  <c r="T4" i="25" s="1"/>
  <c r="T2" i="25"/>
  <c r="E29" i="7"/>
  <c r="S4" i="25" s="1"/>
  <c r="G29" i="7"/>
  <c r="U4" i="25" s="1"/>
  <c r="K8" i="3"/>
  <c r="Y3" i="17" s="1"/>
  <c r="H24" i="3"/>
  <c r="V5" i="17" s="1"/>
  <c r="V3" i="17"/>
  <c r="S3" i="17"/>
  <c r="F79" i="1"/>
  <c r="Q119" i="15" s="1"/>
  <c r="F47" i="1"/>
  <c r="E47" i="1"/>
  <c r="E59" i="1" s="1"/>
  <c r="P104" i="15" s="1"/>
  <c r="G6" i="11"/>
  <c r="E6" i="10"/>
  <c r="C6" i="11"/>
  <c r="A2" i="12"/>
  <c r="A2" i="10"/>
  <c r="A2" i="11"/>
  <c r="F59" i="1"/>
  <c r="Q95" i="15"/>
  <c r="R32" i="18"/>
  <c r="D72" i="4"/>
  <c r="B57" i="4"/>
  <c r="B59" i="4" s="1"/>
  <c r="P26" i="18"/>
  <c r="P32" i="18"/>
  <c r="B72" i="4"/>
  <c r="A2" i="9"/>
  <c r="A2" i="6"/>
  <c r="A2" i="7"/>
  <c r="A2" i="2"/>
  <c r="A2" i="5"/>
  <c r="A2" i="1"/>
  <c r="A2" i="4"/>
  <c r="B62" i="1"/>
  <c r="P54" i="15" s="1"/>
  <c r="S3" i="16"/>
  <c r="B8" i="2"/>
  <c r="R27" i="18"/>
  <c r="V4" i="16"/>
  <c r="H8" i="2"/>
  <c r="P106" i="15"/>
  <c r="E79" i="1"/>
  <c r="P119" i="15" s="1"/>
  <c r="E6" i="1"/>
  <c r="A2" i="3"/>
  <c r="B65" i="5"/>
  <c r="P56" i="20" s="1"/>
  <c r="P37" i="20"/>
  <c r="T4" i="16"/>
  <c r="F8" i="2"/>
  <c r="Q4" i="15"/>
  <c r="C47" i="1"/>
  <c r="A2" i="8"/>
  <c r="Q3" i="16"/>
  <c r="R4" i="16"/>
  <c r="D8" i="2"/>
  <c r="B44" i="4"/>
  <c r="I24" i="3"/>
  <c r="W5" i="17" s="1"/>
  <c r="W3" i="17"/>
  <c r="P95" i="24"/>
  <c r="B84" i="6"/>
  <c r="P76" i="24" s="1"/>
  <c r="T21" i="24"/>
  <c r="F9" i="6"/>
  <c r="G84" i="6"/>
  <c r="U76" i="24" s="1"/>
  <c r="U95" i="24"/>
  <c r="E33" i="9"/>
  <c r="S24" i="27" s="1"/>
  <c r="D44" i="4"/>
  <c r="P19" i="18"/>
  <c r="B6" i="10"/>
  <c r="F6" i="10"/>
  <c r="G45" i="5"/>
  <c r="E84" i="6"/>
  <c r="S76" i="24" s="1"/>
  <c r="P13" i="27"/>
  <c r="G9" i="9"/>
  <c r="U2" i="27" s="1"/>
  <c r="U5" i="27"/>
  <c r="G54" i="5"/>
  <c r="U46" i="20" s="1"/>
  <c r="E9" i="6"/>
  <c r="C84" i="6"/>
  <c r="Q76" i="24" s="1"/>
  <c r="Q95" i="24"/>
  <c r="R13" i="27"/>
  <c r="D33" i="9"/>
  <c r="R24" i="27" s="1"/>
  <c r="U3" i="26"/>
  <c r="R2" i="25"/>
  <c r="U58" i="26"/>
  <c r="R53" i="26"/>
  <c r="U46" i="26"/>
  <c r="S20" i="26"/>
  <c r="R16" i="27"/>
  <c r="U2" i="29"/>
  <c r="Q2" i="29"/>
  <c r="P2" i="31"/>
  <c r="F43" i="8"/>
  <c r="C9" i="8"/>
  <c r="Q2" i="26" s="1"/>
  <c r="P16" i="27"/>
  <c r="Q16" i="27"/>
  <c r="F21" i="9"/>
  <c r="U7" i="27"/>
  <c r="F32" i="10"/>
  <c r="T23" i="28" s="1"/>
  <c r="D32" i="10"/>
  <c r="R23" i="28" s="1"/>
  <c r="T2" i="29"/>
  <c r="T2" i="31"/>
  <c r="U2" i="30"/>
  <c r="Q2" i="30"/>
  <c r="C33" i="9" l="1"/>
  <c r="Q24" i="27" s="1"/>
  <c r="G33" i="9"/>
  <c r="U24" i="27" s="1"/>
  <c r="D77" i="8"/>
  <c r="R68" i="26" s="1"/>
  <c r="B77" i="8"/>
  <c r="P68" i="26" s="1"/>
  <c r="E77" i="8"/>
  <c r="S68" i="26" s="1"/>
  <c r="G43" i="8"/>
  <c r="G77" i="8" s="1"/>
  <c r="U68" i="26" s="1"/>
  <c r="D159" i="6"/>
  <c r="R150" i="24" s="1"/>
  <c r="R2" i="24"/>
  <c r="G9" i="6"/>
  <c r="G159" i="6" s="1"/>
  <c r="U150" i="24" s="1"/>
  <c r="B159" i="6"/>
  <c r="P150" i="24" s="1"/>
  <c r="G41" i="5"/>
  <c r="B70" i="5"/>
  <c r="F70" i="5"/>
  <c r="E70" i="5"/>
  <c r="C11" i="4"/>
  <c r="Q25" i="18"/>
  <c r="C74" i="4"/>
  <c r="Q39" i="18" s="1"/>
  <c r="Q38" i="18"/>
  <c r="K24" i="3"/>
  <c r="Y5" i="17" s="1"/>
  <c r="P95" i="15"/>
  <c r="G42" i="5"/>
  <c r="U35" i="20" s="1"/>
  <c r="U34" i="20"/>
  <c r="F159" i="6"/>
  <c r="T150" i="24" s="1"/>
  <c r="T2" i="24"/>
  <c r="B11" i="4"/>
  <c r="P25" i="18"/>
  <c r="C159" i="6"/>
  <c r="Q150" i="24" s="1"/>
  <c r="F20" i="2"/>
  <c r="T13" i="16" s="1"/>
  <c r="T3" i="16"/>
  <c r="T35" i="26"/>
  <c r="F77" i="8"/>
  <c r="T68" i="26" s="1"/>
  <c r="C77" i="8"/>
  <c r="Q68" i="26" s="1"/>
  <c r="S2" i="24"/>
  <c r="E159" i="6"/>
  <c r="S150" i="24" s="1"/>
  <c r="R3" i="16"/>
  <c r="D20" i="2"/>
  <c r="R13" i="16" s="1"/>
  <c r="Q42" i="15"/>
  <c r="C62" i="1"/>
  <c r="Q54" i="15" s="1"/>
  <c r="Q104" i="15"/>
  <c r="F81" i="1"/>
  <c r="Q120" i="15" s="1"/>
  <c r="V3" i="16"/>
  <c r="H20" i="2"/>
  <c r="V13" i="16" s="1"/>
  <c r="T13" i="27"/>
  <c r="F33" i="9"/>
  <c r="T24" i="27" s="1"/>
  <c r="G65" i="5"/>
  <c r="U56" i="20" s="1"/>
  <c r="U37" i="20"/>
  <c r="R25" i="18"/>
  <c r="D11" i="4"/>
  <c r="B20" i="2"/>
  <c r="P13" i="16" s="1"/>
  <c r="P3" i="16"/>
  <c r="B74" i="4"/>
  <c r="P39" i="18" s="1"/>
  <c r="P38" i="18"/>
  <c r="D74" i="4"/>
  <c r="R39" i="18" s="1"/>
  <c r="R38" i="18"/>
  <c r="E81" i="1"/>
  <c r="P120" i="15" s="1"/>
  <c r="U35" i="26" l="1"/>
  <c r="U2" i="24"/>
  <c r="G70" i="5"/>
  <c r="C8" i="4"/>
  <c r="Q5" i="18"/>
  <c r="P5" i="18"/>
  <c r="B8" i="4"/>
  <c r="R5" i="18"/>
  <c r="D8" i="4"/>
  <c r="C21" i="4" l="1"/>
  <c r="Q2" i="18"/>
  <c r="D21" i="4"/>
  <c r="R2" i="18"/>
  <c r="B21" i="4"/>
  <c r="P2" i="18"/>
  <c r="C23" i="4" l="1"/>
  <c r="Q12" i="18"/>
  <c r="P12" i="18"/>
  <c r="B23" i="4"/>
  <c r="R12" i="18"/>
  <c r="D23" i="4"/>
  <c r="C25" i="4" l="1"/>
  <c r="Q13" i="18"/>
  <c r="B25" i="4"/>
  <c r="P13" i="18"/>
  <c r="D25" i="4"/>
  <c r="R13" i="18"/>
  <c r="Q14" i="18" l="1"/>
  <c r="C33" i="4"/>
  <c r="Q18" i="18" s="1"/>
  <c r="R14" i="18"/>
  <c r="D33" i="4"/>
  <c r="R18" i="18" s="1"/>
  <c r="P14" i="18"/>
  <c r="B33" i="4"/>
  <c r="P18" i="18" s="1"/>
</calcChain>
</file>

<file path=xl/sharedStrings.xml><?xml version="1.0" encoding="utf-8"?>
<sst xmlns="http://schemas.openxmlformats.org/spreadsheetml/2006/main" count="4247" uniqueCount="3309">
  <si>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</si>
  <si>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</si>
  <si>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</si>
  <si>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</si>
  <si>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</si>
  <si>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</si>
  <si>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</si>
  <si>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</si>
  <si>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</si>
  <si>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</si>
  <si>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</si>
  <si>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</si>
  <si>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</si>
  <si>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</si>
  <si>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</si>
  <si>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</si>
  <si>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</si>
  <si>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</si>
  <si>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</si>
  <si>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</si>
  <si>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</si>
  <si>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</si>
  <si>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</si>
  <si>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</si>
  <si>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</si>
  <si>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</si>
  <si>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</si>
  <si>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</si>
  <si>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</si>
  <si>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</si>
  <si>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</si>
  <si>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</si>
  <si>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</si>
  <si>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</si>
  <si>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</si>
  <si>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</si>
  <si>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</si>
  <si>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</si>
  <si>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</si>
  <si>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</si>
  <si>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</si>
  <si>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</si>
  <si>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</si>
  <si>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</si>
  <si>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</si>
  <si>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</si>
  <si>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</si>
  <si>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</si>
  <si>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</si>
  <si>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</si>
  <si>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</si>
  <si>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</si>
  <si>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</si>
  <si>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</si>
  <si>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</si>
  <si>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</si>
  <si>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</si>
  <si>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</si>
  <si>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</si>
  <si>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</si>
  <si>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</si>
  <si>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</si>
  <si>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</si>
  <si>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</si>
  <si>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</si>
  <si>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</si>
  <si>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</si>
  <si>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</si>
  <si>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</si>
  <si>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</si>
  <si>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</si>
  <si>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</si>
  <si>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</si>
  <si>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</si>
  <si>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</si>
  <si>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</si>
  <si>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</si>
  <si>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</si>
  <si>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</si>
  <si>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</si>
  <si>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</si>
  <si>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</si>
  <si>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</si>
  <si>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</si>
  <si>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</si>
  <si>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</si>
  <si>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</si>
  <si>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</si>
  <si>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</si>
  <si>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</si>
  <si>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</si>
  <si>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</si>
  <si>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</si>
  <si>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</si>
  <si>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</si>
  <si>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</si>
  <si>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</si>
  <si>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</si>
  <si>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</si>
  <si>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</si>
  <si>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</si>
  <si>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</si>
  <si>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</si>
  <si>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</si>
  <si>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</si>
  <si>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</si>
  <si>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</si>
  <si>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</si>
  <si>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</si>
  <si>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</si>
  <si>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</si>
  <si>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</si>
  <si>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</si>
  <si>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</si>
  <si>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</si>
  <si>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</si>
  <si>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</si>
  <si>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</si>
  <si>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</si>
  <si>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</si>
  <si>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</si>
  <si>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</si>
  <si>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</si>
  <si>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</si>
  <si>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</si>
  <si>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</si>
  <si>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</si>
  <si>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</si>
  <si>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</si>
  <si>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</si>
  <si>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</si>
  <si>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</si>
  <si>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</si>
  <si>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</si>
  <si>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</si>
  <si>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</si>
  <si>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</si>
  <si>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</si>
  <si>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</si>
  <si>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</si>
  <si>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</si>
  <si>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</si>
  <si>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</si>
  <si>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</si>
  <si>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</si>
  <si>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</si>
  <si>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</si>
  <si>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</si>
  <si>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</si>
  <si>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</si>
  <si>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</si>
  <si>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</si>
  <si>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</si>
  <si>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</si>
  <si>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</si>
  <si>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</si>
  <si>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</si>
  <si>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</si>
  <si>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</si>
  <si>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</si>
  <si>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</si>
  <si>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</si>
  <si>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</si>
  <si>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</si>
  <si>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</si>
  <si>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</si>
  <si>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</si>
  <si>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</si>
  <si>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</si>
  <si>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</si>
  <si>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</si>
  <si>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</si>
  <si>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</si>
  <si>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</si>
  <si>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</si>
  <si>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</si>
  <si>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</si>
  <si>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</si>
  <si>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</si>
  <si>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</si>
  <si>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</si>
  <si>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</si>
  <si>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</si>
  <si>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</si>
  <si>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</si>
  <si>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</si>
  <si>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</si>
  <si>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</si>
  <si>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</si>
  <si>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</si>
  <si>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</si>
  <si>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</si>
  <si>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</si>
  <si>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</si>
  <si>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</si>
  <si>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</si>
  <si>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</si>
  <si>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</si>
  <si>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</si>
  <si>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</si>
  <si>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</si>
  <si>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</si>
  <si>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</si>
  <si>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</si>
  <si>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</si>
  <si>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</si>
  <si>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</si>
  <si>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</si>
  <si>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</si>
  <si>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</si>
  <si>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</si>
  <si>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</si>
  <si>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</si>
  <si>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</si>
  <si>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</si>
  <si>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</si>
  <si>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</si>
  <si>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</si>
  <si>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</si>
  <si>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</si>
  <si>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</si>
  <si>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</si>
  <si>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</si>
  <si>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</si>
  <si>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</si>
  <si>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</si>
  <si>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</si>
  <si>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</si>
  <si>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</si>
  <si>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</si>
  <si>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</si>
  <si>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</si>
  <si>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</si>
  <si>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</si>
  <si>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</si>
  <si>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</si>
  <si>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</si>
  <si>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</si>
  <si>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</si>
  <si>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</si>
  <si>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</si>
  <si>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</si>
  <si>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</si>
  <si>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</si>
  <si>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</si>
  <si>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</si>
  <si>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</si>
  <si>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</si>
  <si>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</si>
  <si>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</si>
  <si>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</si>
  <si>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</si>
  <si>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</si>
  <si>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</si>
  <si>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</si>
  <si>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</si>
  <si>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</si>
  <si>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</si>
  <si>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</si>
  <si>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</si>
  <si>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</si>
  <si>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</si>
  <si>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</si>
  <si>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</si>
  <si>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</si>
  <si>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</si>
  <si>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</si>
  <si>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</si>
  <si>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</si>
  <si>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</si>
  <si>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</si>
  <si>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</si>
  <si>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</si>
  <si>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</si>
  <si>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</si>
  <si>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</si>
  <si>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</si>
  <si>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</si>
  <si>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</si>
  <si>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</si>
  <si>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</si>
  <si>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</si>
  <si>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</si>
  <si>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</si>
  <si>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</si>
  <si>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</si>
  <si>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</si>
  <si>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</si>
  <si>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</si>
  <si>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</si>
  <si>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</si>
  <si>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</si>
  <si>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</si>
  <si>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</si>
  <si>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</si>
  <si>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</si>
  <si>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</si>
  <si>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</si>
  <si>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</si>
  <si>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</si>
  <si>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</si>
  <si>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</si>
  <si>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</si>
  <si>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</si>
  <si>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</si>
  <si>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</si>
  <si>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</si>
  <si>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</si>
  <si>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</si>
  <si>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</si>
  <si>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</si>
  <si>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</si>
  <si>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</si>
  <si>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</si>
  <si>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</si>
  <si>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</si>
  <si>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</si>
  <si>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</si>
  <si>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</si>
  <si>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</si>
  <si>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</si>
  <si>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</si>
  <si>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</si>
  <si>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</si>
  <si>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</si>
  <si>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</si>
  <si>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</si>
  <si>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</si>
  <si>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</si>
  <si>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</si>
  <si>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</si>
  <si>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</si>
  <si>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</si>
  <si>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</si>
  <si>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</si>
  <si>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</si>
  <si>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</si>
  <si>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</si>
  <si>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</si>
  <si>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</si>
  <si>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</si>
  <si>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</si>
  <si>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</si>
  <si>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</si>
  <si>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</si>
  <si>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</si>
  <si>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</si>
  <si>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</si>
  <si>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</si>
  <si>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</si>
  <si>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</si>
  <si>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</si>
  <si>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</si>
  <si>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</si>
  <si>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</si>
  <si>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</si>
  <si>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</si>
  <si>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</si>
  <si>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</si>
  <si>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</si>
  <si>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</si>
  <si>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</si>
  <si>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</si>
  <si>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</si>
  <si>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</si>
  <si>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</si>
  <si>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</si>
  <si>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</si>
  <si>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</si>
  <si>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</si>
  <si>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</si>
  <si>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</si>
  <si>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</si>
  <si>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</si>
  <si>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</si>
  <si>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</si>
  <si>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</si>
  <si>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</si>
  <si>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</si>
  <si>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</si>
  <si>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</si>
  <si>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</si>
  <si>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</si>
  <si>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</si>
  <si>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</si>
  <si>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</si>
  <si>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</si>
  <si>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</si>
  <si>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</si>
  <si>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</si>
  <si>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</si>
  <si>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</si>
  <si>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</si>
  <si>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</si>
  <si>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</si>
  <si>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</si>
  <si>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</si>
  <si>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</si>
  <si>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</si>
  <si>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</si>
  <si>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</si>
  <si>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</si>
  <si>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</si>
  <si>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</si>
  <si>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</si>
  <si>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</si>
  <si>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</si>
  <si>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</si>
  <si>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</si>
  <si>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</si>
  <si>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</si>
  <si>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</si>
  <si>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</si>
  <si>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</si>
  <si>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</si>
  <si>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</si>
  <si>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</si>
  <si>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</si>
  <si>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</si>
  <si>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</si>
  <si>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</si>
  <si>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</si>
  <si>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</si>
  <si>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</si>
  <si>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</si>
  <si>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</si>
  <si>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</si>
  <si>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</si>
  <si>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</si>
  <si>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</si>
  <si>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</si>
  <si>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</si>
  <si>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</si>
  <si>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</si>
  <si>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</si>
  <si>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</si>
  <si>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</si>
  <si>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</si>
  <si>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</si>
  <si>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</si>
  <si>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</si>
  <si>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</si>
  <si>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</si>
  <si>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</si>
  <si>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</si>
  <si>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</si>
  <si>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</si>
  <si>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</si>
  <si>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</si>
  <si>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</si>
  <si>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</si>
  <si>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</si>
  <si>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</si>
  <si>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</si>
  <si>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</si>
  <si>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</si>
  <si>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</si>
  <si>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</si>
  <si>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</si>
  <si>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</si>
  <si>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</si>
  <si>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</si>
  <si>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</si>
  <si>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</si>
  <si>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</si>
  <si>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</si>
  <si>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</si>
  <si>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</si>
  <si>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</si>
  <si>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</si>
  <si>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</si>
  <si>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</si>
  <si>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</si>
  <si>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</si>
  <si>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</si>
  <si>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</si>
  <si>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</si>
  <si>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</si>
  <si>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</si>
  <si>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</si>
  <si>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</si>
  <si>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</si>
  <si>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</si>
  <si>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</si>
  <si>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</si>
  <si>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</si>
  <si>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</si>
  <si>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</si>
  <si>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</si>
  <si>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</si>
  <si>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</si>
  <si>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</si>
  <si>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</si>
  <si>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</si>
  <si>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</si>
  <si>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</si>
  <si>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</si>
  <si>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</si>
  <si>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</si>
  <si>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</si>
  <si>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</si>
  <si>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</si>
  <si>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</si>
  <si>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</si>
  <si>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</si>
  <si>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</si>
  <si>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</si>
  <si>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</si>
  <si>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</si>
  <si>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</si>
  <si>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</si>
  <si>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</si>
  <si>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</si>
  <si>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</si>
  <si>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</si>
  <si>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</si>
  <si>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</si>
  <si>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</si>
  <si>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</si>
  <si>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</si>
  <si>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</si>
  <si>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</si>
  <si>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</si>
  <si>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</si>
  <si>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</si>
  <si>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</si>
  <si>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</si>
  <si>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</si>
  <si>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</si>
  <si>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</si>
  <si>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</si>
  <si>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</si>
  <si>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</si>
  <si>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</si>
  <si>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</si>
  <si>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</si>
  <si>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</si>
  <si>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</si>
  <si>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</si>
  <si>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</si>
  <si>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</si>
  <si>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</si>
  <si>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</si>
  <si>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</si>
  <si>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</si>
  <si>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</si>
  <si>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</si>
  <si>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</si>
  <si>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</si>
  <si>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</si>
  <si>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</si>
  <si>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</si>
  <si>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</si>
  <si>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</si>
  <si>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</si>
  <si>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</si>
  <si>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</si>
  <si>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</si>
  <si>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</si>
  <si>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</si>
  <si>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</si>
  <si>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</si>
  <si>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</si>
  <si>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</si>
  <si>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</si>
  <si>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</si>
  <si>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</si>
  <si>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</si>
  <si>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</si>
  <si>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</si>
  <si>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</si>
  <si>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</si>
  <si>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</si>
  <si>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</si>
  <si>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</si>
  <si>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</si>
  <si>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</si>
  <si>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</si>
  <si>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</si>
  <si>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</si>
  <si>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</si>
  <si>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</si>
  <si>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</si>
  <si>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</si>
  <si>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</si>
  <si>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</si>
  <si>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</si>
  <si>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</si>
  <si>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</si>
  <si>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</si>
  <si>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</si>
  <si>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</si>
  <si>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</si>
  <si>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</si>
  <si>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</si>
  <si>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</si>
  <si>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</si>
  <si>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</si>
  <si>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</si>
  <si>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</si>
  <si>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</si>
  <si>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</si>
  <si>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</si>
  <si>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</si>
  <si>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</si>
  <si>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</si>
  <si>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</si>
  <si>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</si>
  <si>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</si>
  <si>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</si>
  <si>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</si>
  <si>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</si>
  <si>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</si>
  <si>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</si>
  <si>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</si>
  <si>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</si>
  <si>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</si>
  <si>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</si>
  <si>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</si>
  <si>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</si>
  <si>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</si>
  <si>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</si>
  <si>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</si>
  <si>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</si>
  <si>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</si>
  <si>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</si>
  <si>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</si>
  <si>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</si>
  <si>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</si>
  <si>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</si>
  <si>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</si>
  <si>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</si>
  <si>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</si>
  <si>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</si>
  <si>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</si>
  <si>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</si>
  <si>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</si>
  <si>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</si>
  <si>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</si>
  <si>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</si>
  <si>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</si>
  <si>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</si>
  <si>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</si>
  <si>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</si>
  <si>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</si>
  <si>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</si>
  <si>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</si>
  <si>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</si>
  <si>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</si>
  <si>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</si>
  <si>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</si>
  <si>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</si>
  <si>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</si>
  <si>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</si>
  <si>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</si>
  <si>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</si>
  <si>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</si>
  <si>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</si>
  <si>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</si>
  <si>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</si>
  <si>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</si>
  <si>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</si>
  <si>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</si>
  <si>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</si>
  <si>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</si>
  <si>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</si>
  <si>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</si>
  <si>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</si>
  <si>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</si>
  <si>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</si>
  <si>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</si>
  <si>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</si>
  <si>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</si>
  <si>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</si>
  <si>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</si>
  <si>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</si>
  <si>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</si>
  <si>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</si>
  <si>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</si>
  <si>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</si>
  <si>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</si>
  <si>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</si>
  <si>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</si>
  <si>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</si>
  <si>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</si>
  <si>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</si>
  <si>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</si>
  <si>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</si>
  <si>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</si>
  <si>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</si>
  <si>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</si>
  <si>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</si>
  <si>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</si>
  <si>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</si>
  <si>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</si>
  <si>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</si>
  <si>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</si>
  <si>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</si>
  <si>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</si>
  <si>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</si>
  <si>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</si>
  <si>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</si>
  <si>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</si>
  <si>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</si>
  <si>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</si>
  <si>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</si>
  <si>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</si>
  <si>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</si>
  <si>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</si>
  <si>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</si>
  <si>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</si>
  <si>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</si>
  <si>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</si>
  <si>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</si>
  <si>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</si>
  <si>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</si>
  <si>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</si>
  <si>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</si>
  <si>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</si>
  <si>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</si>
  <si>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</si>
  <si>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</si>
  <si>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</si>
  <si>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</si>
  <si>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</si>
  <si>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</si>
  <si>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</si>
  <si>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</si>
  <si>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</si>
  <si>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</si>
  <si>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</si>
  <si>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</si>
  <si>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</si>
  <si>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</si>
  <si>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</si>
  <si>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</si>
  <si>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</si>
  <si>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</si>
  <si>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</si>
  <si>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</si>
  <si>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</si>
  <si>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</si>
  <si>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</si>
  <si>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</si>
  <si>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</si>
  <si>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</si>
  <si>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</si>
  <si>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</si>
  <si>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</si>
  <si>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</si>
  <si>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</si>
  <si>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</si>
  <si>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</si>
  <si>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</si>
  <si>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</si>
  <si>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</si>
  <si>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</si>
  <si>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</si>
  <si>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</si>
  <si>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</si>
  <si>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</si>
  <si>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</si>
  <si>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</si>
  <si>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</si>
  <si>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</si>
  <si>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</si>
  <si>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</si>
  <si>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</si>
  <si>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</si>
  <si>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</si>
  <si>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</si>
  <si>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</si>
  <si>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</si>
  <si>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</si>
  <si>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</si>
  <si>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</si>
  <si>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</si>
  <si>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</si>
  <si>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</si>
  <si>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</si>
  <si>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</si>
  <si>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</si>
  <si>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</si>
  <si>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</si>
  <si>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</si>
  <si>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</si>
  <si>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</si>
  <si>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</si>
  <si>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</si>
  <si>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</si>
  <si>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</si>
  <si>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</si>
  <si>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</si>
  <si>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</si>
  <si>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</si>
  <si>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</si>
  <si>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</si>
  <si>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</si>
  <si>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</si>
  <si>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</si>
  <si>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</si>
  <si>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</si>
  <si>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</si>
  <si>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</si>
  <si>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</si>
  <si>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</si>
  <si>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</si>
  <si>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</si>
  <si>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</si>
  <si>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</si>
  <si>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</si>
  <si>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</si>
  <si>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</si>
  <si>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</si>
  <si>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</si>
  <si>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</si>
  <si>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</si>
  <si>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</si>
  <si>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</si>
  <si>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</si>
  <si>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</si>
  <si>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</si>
  <si>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</si>
  <si>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</si>
  <si>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</si>
  <si>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</si>
  <si>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</si>
  <si>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</si>
  <si>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</si>
  <si>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</si>
  <si>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</si>
  <si>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</si>
  <si>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</si>
  <si>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</si>
  <si>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</si>
  <si>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</si>
  <si>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</si>
  <si>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</si>
  <si>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</si>
  <si>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</si>
  <si>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</si>
  <si>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</si>
  <si>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</si>
  <si>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</si>
  <si>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</si>
  <si>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</si>
  <si>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</si>
  <si>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</si>
  <si>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</si>
  <si>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</si>
  <si>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</si>
  <si>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</si>
  <si>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</si>
  <si>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</si>
  <si>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</si>
  <si>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</si>
  <si>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</si>
  <si>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</si>
  <si>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</si>
  <si>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</si>
  <si>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</si>
  <si>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</si>
  <si>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</si>
  <si>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</si>
  <si>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</si>
  <si>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</si>
  <si>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</si>
  <si>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</si>
  <si>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</si>
  <si>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</si>
  <si>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</si>
  <si>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</si>
  <si>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</si>
  <si>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</si>
  <si>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</si>
  <si>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</si>
  <si>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</si>
  <si>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</si>
  <si>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</si>
  <si>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</si>
  <si>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</si>
  <si>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</si>
  <si>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</si>
  <si>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</si>
  <si>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</si>
  <si>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</si>
  <si>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</si>
  <si>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</si>
  <si>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</si>
  <si>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</si>
  <si>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</si>
  <si>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</si>
  <si>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</si>
  <si>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</si>
  <si>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</si>
  <si>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</si>
  <si>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</si>
  <si>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</si>
  <si>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</si>
  <si>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</si>
  <si>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</si>
  <si>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</si>
  <si>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</si>
  <si>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</si>
  <si>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</si>
  <si>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</si>
  <si>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</si>
  <si>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</si>
  <si>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</si>
  <si>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</si>
  <si>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</si>
  <si>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</si>
  <si>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</si>
  <si>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</si>
  <si>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</si>
  <si>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</si>
  <si>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</si>
  <si>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</si>
  <si>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</si>
  <si>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</si>
  <si>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</si>
  <si>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</si>
  <si>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</si>
  <si>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</si>
  <si>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</si>
  <si>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</si>
  <si>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</si>
  <si>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</si>
  <si>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</si>
  <si>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</si>
  <si>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</si>
  <si>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</si>
  <si>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</si>
  <si>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</si>
  <si>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</si>
  <si>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</si>
  <si>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</si>
  <si>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</si>
  <si>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</si>
  <si>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</si>
  <si>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</si>
  <si>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</si>
  <si>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</si>
  <si>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</si>
  <si>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</si>
  <si>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</si>
  <si>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</si>
  <si>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</si>
  <si>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</si>
  <si>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</si>
  <si>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</si>
  <si>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</si>
  <si>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</si>
  <si>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</si>
  <si>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</si>
  <si>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</si>
  <si>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</si>
  <si>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</si>
  <si>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</si>
  <si>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</si>
  <si>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</si>
  <si>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</si>
  <si>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</si>
  <si>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</si>
  <si>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</si>
  <si>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</si>
  <si>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</si>
  <si>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</si>
  <si>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</si>
  <si>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</si>
  <si>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</si>
  <si>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</si>
  <si>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</si>
  <si>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</si>
  <si>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</si>
  <si>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</si>
  <si>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</si>
  <si>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</si>
  <si>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</si>
  <si>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</si>
  <si>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</si>
  <si>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</si>
  <si>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</si>
  <si>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</si>
  <si>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</si>
  <si>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</si>
  <si>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</si>
  <si>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</si>
  <si>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</si>
  <si>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</si>
  <si>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</si>
  <si>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</si>
  <si>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</si>
  <si>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</si>
  <si>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</si>
  <si>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</si>
  <si>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</si>
  <si>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</si>
  <si>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</si>
  <si>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</si>
  <si>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</si>
  <si>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</si>
  <si>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</si>
  <si>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</si>
  <si>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</si>
  <si>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</si>
  <si>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</si>
  <si>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</si>
  <si>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</si>
  <si>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</si>
  <si>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</si>
  <si>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</si>
  <si>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</si>
  <si>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</si>
  <si>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</si>
  <si>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</si>
  <si>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</si>
  <si>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</si>
  <si>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</si>
  <si>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</si>
  <si>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</si>
  <si>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</si>
  <si>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</si>
  <si>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</si>
  <si>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</si>
  <si>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</si>
  <si>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</si>
  <si>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</si>
  <si>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</si>
  <si>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</si>
  <si>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</si>
  <si>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</si>
  <si>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</si>
  <si>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</si>
  <si>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</si>
  <si>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</si>
  <si>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</si>
  <si>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</si>
  <si>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</si>
  <si>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</si>
  <si>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</si>
  <si>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</si>
  <si>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</si>
  <si>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</si>
  <si>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</si>
  <si>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</si>
  <si>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</si>
  <si>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</si>
  <si>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</si>
  <si>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</si>
  <si>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</si>
  <si>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</si>
  <si>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</si>
  <si>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</si>
  <si>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</si>
  <si>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</si>
  <si>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</si>
  <si>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</si>
  <si>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</si>
  <si>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</si>
  <si>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</si>
  <si>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</si>
  <si>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</si>
  <si>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</si>
  <si>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</si>
  <si>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</si>
  <si>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</si>
  <si>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</si>
  <si>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</si>
  <si>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</si>
  <si>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</si>
  <si>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</si>
  <si>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</si>
  <si>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</si>
  <si>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</si>
  <si>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</si>
  <si>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</si>
  <si>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</si>
  <si>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</si>
  <si>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</si>
  <si>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</si>
  <si>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</si>
  <si>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</si>
  <si>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</si>
  <si>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</si>
  <si>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</si>
  <si>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</si>
  <si>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</si>
  <si>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</si>
  <si>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</si>
  <si>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</si>
  <si>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</si>
  <si>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</si>
  <si>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</si>
  <si>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</si>
  <si>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</si>
  <si>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</si>
  <si>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</si>
  <si>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</si>
  <si>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</si>
  <si>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</si>
  <si>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</si>
  <si>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</si>
  <si>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</si>
  <si>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</si>
  <si>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</si>
  <si>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</si>
  <si>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</si>
  <si>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</si>
  <si>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</si>
  <si>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</si>
  <si>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</si>
  <si>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</si>
  <si>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</si>
  <si>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</si>
  <si>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</si>
  <si>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</si>
  <si>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</si>
  <si>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</si>
  <si>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</si>
  <si>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</si>
  <si>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</si>
  <si>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</si>
  <si>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</si>
  <si>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</si>
  <si>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</si>
  <si>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</si>
  <si>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</si>
  <si>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</si>
  <si>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</si>
  <si>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</si>
  <si>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</si>
  <si>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</si>
  <si>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</si>
  <si>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</si>
  <si>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</si>
  <si>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</si>
  <si>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</si>
  <si>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</si>
  <si>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</si>
  <si>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</si>
  <si>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</si>
  <si>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</si>
  <si>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</si>
  <si>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</si>
  <si>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</si>
  <si>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</si>
  <si>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</si>
  <si>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</si>
  <si>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</si>
  <si>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</si>
  <si>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</si>
  <si>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</si>
  <si>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</si>
  <si>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</si>
  <si>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</si>
  <si>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</si>
  <si>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</si>
  <si>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</si>
  <si>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</si>
  <si>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</si>
  <si>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</si>
  <si>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</si>
  <si>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</si>
  <si>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</si>
  <si>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</si>
  <si>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</si>
  <si>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</si>
  <si>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</si>
  <si>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</si>
  <si>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</si>
  <si>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</si>
  <si>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</si>
  <si>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</si>
  <si>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</si>
  <si>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</si>
  <si>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</si>
  <si>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</si>
  <si>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</si>
  <si>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</si>
  <si>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</si>
  <si>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</si>
  <si>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</si>
  <si>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</si>
  <si>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</si>
  <si>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</si>
  <si>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</si>
  <si>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</si>
  <si>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</si>
  <si>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</si>
  <si>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</si>
  <si>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</si>
  <si>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</si>
  <si>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</si>
  <si>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</si>
  <si>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</si>
  <si>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</si>
  <si>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</si>
  <si>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</si>
  <si>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</si>
  <si>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</si>
  <si>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</si>
  <si>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</si>
  <si>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</si>
  <si>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</si>
  <si>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</si>
  <si>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</si>
  <si>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</si>
  <si>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</si>
  <si>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</si>
  <si>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</si>
  <si>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</si>
  <si>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</si>
  <si>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</si>
  <si>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</si>
  <si>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</si>
  <si>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</si>
  <si>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</si>
  <si>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</si>
  <si>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</si>
  <si>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</si>
  <si>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</si>
  <si>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</si>
  <si>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</si>
  <si>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</si>
  <si>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</si>
  <si>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</si>
  <si>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</si>
  <si>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</si>
  <si>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</si>
  <si>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</si>
  <si>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</si>
  <si>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</si>
  <si>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</si>
  <si>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</si>
  <si>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</si>
  <si>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</si>
  <si>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</si>
  <si>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</si>
  <si>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</si>
  <si>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</si>
  <si>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</si>
  <si>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</si>
  <si>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</si>
  <si>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</si>
  <si>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</si>
  <si>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</si>
  <si>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</si>
  <si>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</si>
  <si>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</si>
  <si>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</si>
  <si>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</si>
  <si>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</si>
  <si>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</si>
  <si>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</si>
  <si>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</si>
  <si>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</si>
  <si>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</si>
  <si>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</si>
  <si>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</si>
  <si>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</si>
  <si>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</si>
  <si>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</si>
  <si>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</si>
  <si>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</si>
  <si>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</si>
  <si>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</si>
  <si>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</si>
  <si>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</si>
  <si>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</si>
  <si>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</si>
  <si>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</si>
  <si>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</si>
  <si>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</si>
  <si>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</si>
  <si>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</si>
  <si>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</si>
  <si>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</si>
  <si>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</si>
  <si>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</si>
  <si>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</si>
  <si>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</si>
  <si>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</si>
  <si>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</si>
  <si>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</si>
  <si>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</si>
  <si>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</si>
  <si>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</si>
  <si>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</si>
  <si>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</si>
  <si>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</si>
  <si>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</si>
  <si>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</si>
  <si>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</si>
  <si>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</si>
  <si>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</si>
  <si>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</si>
  <si>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</si>
  <si>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</si>
  <si>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</si>
  <si>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</si>
  <si>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</si>
  <si>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</si>
  <si>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</si>
  <si>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</si>
  <si>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</si>
  <si>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</si>
  <si>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</si>
  <si>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</si>
  <si>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</si>
  <si>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</si>
  <si>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</si>
  <si>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</si>
  <si>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</si>
  <si>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</si>
  <si>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</si>
  <si>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</si>
  <si>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</si>
  <si>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</si>
  <si>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</si>
  <si>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</si>
  <si>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</si>
  <si>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</si>
  <si>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</si>
  <si>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</si>
  <si>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</si>
  <si>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</si>
  <si>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</si>
  <si>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</si>
  <si>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</si>
  <si>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</si>
  <si>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</si>
  <si>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</si>
  <si>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</si>
  <si>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</si>
  <si>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</si>
  <si>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</si>
  <si>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</si>
  <si>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</si>
  <si>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</si>
  <si>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</si>
  <si>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</si>
  <si>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</si>
  <si>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</si>
  <si>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</si>
  <si>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</si>
  <si>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</si>
  <si>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</si>
  <si>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</si>
  <si>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</si>
  <si>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</si>
  <si>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</si>
  <si>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</si>
  <si>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</si>
  <si>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</si>
  <si>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</si>
  <si>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</si>
  <si>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</si>
  <si>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</si>
  <si>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</si>
  <si>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</si>
  <si>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</si>
  <si>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</si>
  <si>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</si>
  <si>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</si>
  <si>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</si>
  <si>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</si>
  <si>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</si>
  <si>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</si>
  <si>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</si>
  <si>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</si>
  <si>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</si>
  <si>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</si>
  <si>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</si>
  <si>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</si>
  <si>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</si>
  <si>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</si>
  <si>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</si>
  <si>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</si>
  <si>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</si>
  <si>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</si>
  <si>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</si>
  <si>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</si>
  <si>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</si>
  <si>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</si>
  <si>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</si>
  <si>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</si>
  <si>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</si>
  <si>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</si>
  <si>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</si>
  <si>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</si>
  <si>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</si>
  <si>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</si>
  <si>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</si>
  <si>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</si>
  <si>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</si>
  <si>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</si>
  <si>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</si>
  <si>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</si>
  <si>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</si>
  <si>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</si>
  <si>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</si>
  <si>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</si>
  <si>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</si>
  <si>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</si>
  <si>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</si>
  <si>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</si>
  <si>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</si>
  <si>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</si>
  <si>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</si>
  <si>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</si>
  <si>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</si>
  <si>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</si>
  <si>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</si>
  <si>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</si>
  <si>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</si>
  <si>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</si>
  <si>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</si>
  <si>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</si>
  <si>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</si>
  <si>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</si>
  <si>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</si>
  <si>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</si>
  <si>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</si>
  <si>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</si>
  <si>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</si>
  <si>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</si>
  <si>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</si>
  <si>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</si>
  <si>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</si>
  <si>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</si>
  <si>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</si>
  <si>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</si>
  <si>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</si>
  <si>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</si>
  <si>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</si>
  <si>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</si>
  <si>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</si>
  <si>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</si>
  <si>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</si>
  <si>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</si>
  <si>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</si>
  <si>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</si>
  <si>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</si>
  <si>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</si>
  <si>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</si>
  <si>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</si>
  <si>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</si>
  <si>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</si>
  <si>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</si>
  <si>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</si>
  <si>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</si>
  <si>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</si>
  <si>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</si>
  <si>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</si>
  <si>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</si>
  <si>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</si>
  <si>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</si>
  <si>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</si>
  <si>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</si>
  <si>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</si>
  <si>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</si>
  <si>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</si>
  <si>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</si>
  <si>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</si>
  <si>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</si>
  <si>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</si>
  <si>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</si>
  <si>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</si>
  <si>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</si>
  <si>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</si>
  <si>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</si>
  <si>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</si>
  <si>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</si>
  <si>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</si>
  <si>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</si>
  <si>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</si>
  <si>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</si>
  <si>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</si>
  <si>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</si>
  <si>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</si>
  <si>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</si>
  <si>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</si>
  <si>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</si>
  <si>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</si>
  <si>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</si>
  <si>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</si>
  <si>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</si>
  <si>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</si>
  <si>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</si>
  <si>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</si>
  <si>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</si>
  <si>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</si>
  <si>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</si>
  <si>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</si>
  <si>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</si>
  <si>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</si>
  <si>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</si>
  <si>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</si>
  <si>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</si>
  <si>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</si>
  <si>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</si>
  <si>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</si>
  <si>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</si>
  <si>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</si>
  <si>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</si>
  <si>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</si>
  <si>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</si>
  <si>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</si>
  <si>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</si>
  <si>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</si>
  <si>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</si>
  <si>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</si>
  <si>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</si>
  <si>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</si>
  <si>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</si>
  <si>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</si>
  <si>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</si>
  <si>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</si>
  <si>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</si>
  <si>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</si>
  <si>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</si>
  <si>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</si>
  <si>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</si>
  <si>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</si>
  <si>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</si>
  <si>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</si>
  <si>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</si>
  <si>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</si>
  <si>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</si>
  <si>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</si>
  <si>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</si>
  <si>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</si>
  <si>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</si>
  <si>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</si>
  <si>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</si>
  <si>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</si>
  <si>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</si>
  <si>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</si>
  <si>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</si>
  <si>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</si>
  <si>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</si>
  <si>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</si>
  <si>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</si>
  <si>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</si>
  <si>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</si>
  <si>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</si>
  <si>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</si>
  <si>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</si>
  <si>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</si>
  <si>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</si>
  <si>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</si>
  <si>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</si>
  <si>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</si>
  <si>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</si>
  <si>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</si>
  <si>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</si>
  <si>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</si>
  <si>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</si>
  <si>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</si>
  <si>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</si>
  <si>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</si>
  <si>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</si>
  <si>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</si>
  <si>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</si>
  <si>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</si>
  <si>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</si>
  <si>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</si>
  <si>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</si>
  <si>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</si>
  <si>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</si>
  <si>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</si>
  <si>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</si>
  <si>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</si>
  <si>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</si>
  <si>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</si>
  <si>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</si>
  <si>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</si>
  <si>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</si>
  <si>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</si>
  <si>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</si>
  <si>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</si>
  <si>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</si>
  <si>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</si>
  <si>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</si>
  <si>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</si>
  <si>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</si>
  <si>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</si>
  <si>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</si>
  <si>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</si>
  <si>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</si>
  <si>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</si>
  <si>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</si>
  <si>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</si>
  <si>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</si>
  <si>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</si>
  <si>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</si>
  <si>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</si>
  <si>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</si>
  <si>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</si>
  <si>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</si>
  <si>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</si>
  <si>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</si>
  <si>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</si>
  <si>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</si>
  <si>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</si>
  <si>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</si>
  <si>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</si>
  <si>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</si>
  <si>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</si>
  <si>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</si>
  <si>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</si>
  <si>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</si>
  <si>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</si>
  <si>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</si>
  <si>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</si>
  <si>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</si>
  <si>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</si>
  <si>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</si>
  <si>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</si>
  <si>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</si>
  <si>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</si>
  <si>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</si>
  <si>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</si>
  <si>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</si>
  <si>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</si>
  <si>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</si>
  <si>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</si>
  <si>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</si>
  <si>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</si>
  <si>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</si>
  <si>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</si>
  <si>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</si>
  <si>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</si>
  <si>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</si>
  <si>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</si>
  <si>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</si>
  <si>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</si>
  <si>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</si>
  <si>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</si>
  <si>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</si>
  <si>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</si>
  <si>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</si>
  <si>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</si>
  <si>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</si>
  <si>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</si>
  <si>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</si>
  <si>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</si>
  <si>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</si>
  <si>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</si>
  <si>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</si>
  <si>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</si>
  <si>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</si>
  <si>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</si>
  <si>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</si>
  <si>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</si>
  <si>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</si>
  <si>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</si>
  <si>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</si>
  <si>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</si>
  <si>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</si>
  <si>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</si>
  <si>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</si>
  <si>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</si>
  <si>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</si>
  <si>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</si>
  <si>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</si>
  <si>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</si>
  <si>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</si>
  <si>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</si>
  <si>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</si>
  <si>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</si>
  <si>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</si>
  <si>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</si>
  <si>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</si>
  <si>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</si>
  <si>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</si>
  <si>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</si>
  <si>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</si>
  <si>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</si>
  <si>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</si>
  <si>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</si>
  <si>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</si>
  <si>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</si>
  <si>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</si>
  <si>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</si>
  <si>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</si>
  <si>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</si>
  <si>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</si>
  <si>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</si>
  <si>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</si>
  <si>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</si>
  <si>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</si>
  <si>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</si>
  <si>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</si>
  <si>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</si>
  <si>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</si>
  <si>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</si>
  <si>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</si>
  <si>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</si>
  <si>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</si>
  <si>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</si>
  <si>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</si>
  <si>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</si>
  <si>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</si>
  <si>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</si>
  <si>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</si>
  <si>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</si>
  <si>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</si>
  <si>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</si>
  <si>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</si>
  <si>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</si>
  <si>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</si>
  <si>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</si>
  <si>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</si>
  <si>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</si>
  <si>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</si>
  <si>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</si>
  <si>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</si>
  <si>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</si>
  <si>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</si>
  <si>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</si>
  <si>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</si>
  <si>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</si>
  <si>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</si>
  <si>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</si>
  <si>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</si>
  <si>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</si>
  <si>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</si>
  <si>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</si>
  <si>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</si>
  <si>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</si>
  <si>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</si>
  <si>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</si>
  <si>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</si>
  <si>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</si>
  <si>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</si>
  <si>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</si>
  <si>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</si>
  <si>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</si>
  <si>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</si>
  <si>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</si>
  <si>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</si>
  <si>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</si>
  <si>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</si>
  <si>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</si>
  <si>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</si>
  <si>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</si>
  <si>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</si>
  <si>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</si>
  <si>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</si>
  <si>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</si>
  <si>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</si>
  <si>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</si>
  <si>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</si>
  <si>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</si>
  <si>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</si>
  <si>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</si>
  <si>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</si>
  <si>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</si>
  <si>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</si>
  <si>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</si>
  <si>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</si>
  <si>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</si>
  <si>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</si>
  <si>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</si>
  <si>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</si>
  <si>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</si>
  <si>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</si>
  <si>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</si>
  <si>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</si>
  <si>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</si>
  <si>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</si>
  <si>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</si>
  <si>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</si>
  <si>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</si>
  <si>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</si>
  <si>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</si>
  <si>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</si>
  <si>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</si>
  <si>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</si>
  <si>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</si>
  <si>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</si>
  <si>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</si>
  <si>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</si>
  <si>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</si>
  <si>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</si>
  <si>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</si>
  <si>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</si>
  <si>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</si>
  <si>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</si>
  <si>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</si>
  <si>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</si>
  <si>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</si>
  <si>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</si>
  <si>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</si>
  <si>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</si>
  <si>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</si>
  <si>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</si>
  <si>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</si>
  <si>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</si>
  <si>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</si>
  <si>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</si>
  <si>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</si>
  <si>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</si>
  <si>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</si>
  <si>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</si>
  <si>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</si>
  <si>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</si>
  <si>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</si>
  <si>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</si>
  <si>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</si>
  <si>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</si>
  <si>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</si>
  <si>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</si>
  <si>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</si>
  <si>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</si>
  <si>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</si>
  <si>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</si>
  <si>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</si>
  <si>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</si>
  <si>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</si>
  <si>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</si>
  <si>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</si>
  <si>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</si>
  <si>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</si>
  <si>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</si>
  <si>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</si>
  <si>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</si>
  <si>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</si>
  <si>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</si>
  <si>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</si>
  <si>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</si>
  <si>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</si>
  <si>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</si>
  <si>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</si>
  <si>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</si>
  <si>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</si>
  <si>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</si>
  <si>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</si>
  <si>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</si>
  <si>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</si>
  <si>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</si>
  <si>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</si>
  <si>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</si>
  <si>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</si>
  <si>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</si>
  <si>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</si>
  <si>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</si>
  <si>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</si>
  <si>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</si>
  <si>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</si>
  <si>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</si>
  <si>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</si>
  <si>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</si>
  <si>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</si>
  <si>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</si>
  <si>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</si>
  <si>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</si>
  <si>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</si>
  <si>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</si>
  <si>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</si>
  <si>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</si>
  <si>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</si>
  <si>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</si>
  <si>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</si>
  <si>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</si>
  <si>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</si>
  <si>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</si>
  <si>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</si>
  <si>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</si>
  <si>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</si>
  <si>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</si>
  <si>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</si>
  <si>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</si>
  <si>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</si>
  <si>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</si>
  <si>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</si>
  <si>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</si>
  <si>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</si>
  <si>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</si>
  <si>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</si>
  <si>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</si>
  <si>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</si>
  <si>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</si>
  <si>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</si>
  <si>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</si>
  <si>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</si>
  <si>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</si>
  <si>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</si>
  <si>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</si>
  <si>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</si>
  <si>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</si>
  <si>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</si>
  <si>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</si>
  <si>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</si>
  <si>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</si>
  <si>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</si>
  <si>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</si>
  <si>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</si>
  <si>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</si>
  <si>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</si>
  <si>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</si>
  <si>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</si>
  <si>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</si>
  <si>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</si>
  <si>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</si>
  <si>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</si>
  <si>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</si>
  <si>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</si>
  <si>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</si>
  <si>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</si>
  <si>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</si>
  <si>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</si>
  <si>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</si>
  <si>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</si>
  <si>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</si>
  <si>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</si>
  <si>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</si>
  <si>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</si>
  <si>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</si>
  <si>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</si>
  <si>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</si>
  <si>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</si>
  <si>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</si>
  <si>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</si>
  <si>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</si>
  <si>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</si>
  <si>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</si>
  <si>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</si>
  <si>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</si>
  <si>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</si>
  <si>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</si>
  <si>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</si>
  <si>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</si>
  <si>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</si>
  <si>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</si>
  <si>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</si>
  <si>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</si>
  <si>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</si>
  <si>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</si>
  <si>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</si>
  <si>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</si>
  <si>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</si>
  <si>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</si>
  <si>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</si>
  <si>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</si>
  <si>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</si>
  <si>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</si>
  <si>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</si>
  <si>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</si>
  <si>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</si>
  <si>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</si>
  <si>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</si>
  <si>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</si>
  <si>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</si>
  <si>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</si>
  <si>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</si>
  <si>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</si>
  <si>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</si>
  <si>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</si>
  <si>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</si>
  <si>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</si>
  <si>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</si>
  <si>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</si>
  <si>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</si>
  <si>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</si>
  <si>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</si>
  <si>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</si>
  <si>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</si>
  <si>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</si>
  <si>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</si>
  <si>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</si>
  <si>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</si>
  <si>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</si>
  <si>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</si>
  <si>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</si>
  <si>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</si>
  <si>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</si>
  <si>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</si>
  <si>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</si>
  <si>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</si>
  <si>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</si>
  <si>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</si>
  <si>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</si>
  <si>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</si>
  <si>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</si>
  <si>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</si>
  <si>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</si>
  <si>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</si>
  <si>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</si>
  <si>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</si>
  <si>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</si>
  <si>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</si>
  <si>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</si>
  <si>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</si>
  <si>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</si>
  <si>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</si>
  <si>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</si>
  <si>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</si>
  <si>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</si>
  <si>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</si>
  <si>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</si>
  <si>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</si>
  <si>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</si>
  <si>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</si>
  <si>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</si>
  <si>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</si>
  <si>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</si>
  <si>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</si>
  <si>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</si>
  <si>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</si>
  <si>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</si>
  <si>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</si>
  <si>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</si>
  <si>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</si>
  <si>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</si>
  <si>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</si>
  <si>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</si>
  <si>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</si>
  <si>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</si>
  <si>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</si>
  <si>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</si>
  <si>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</si>
  <si>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</si>
  <si>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</si>
  <si>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</si>
  <si>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</si>
  <si>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</si>
  <si>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</si>
  <si>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</si>
  <si>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</si>
  <si>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</si>
  <si>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</si>
  <si>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</si>
  <si>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</si>
  <si>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</si>
  <si>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</si>
  <si>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</si>
  <si>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</si>
  <si>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</si>
  <si>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</si>
  <si>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</si>
  <si>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</si>
  <si>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</si>
  <si>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</si>
  <si>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</si>
  <si>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</si>
  <si>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</si>
  <si>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</si>
  <si>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</si>
  <si>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</si>
  <si>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</si>
  <si>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</si>
  <si>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</si>
  <si>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</si>
  <si>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</si>
  <si>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</si>
  <si>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</si>
  <si>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</si>
  <si>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</si>
  <si>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</si>
  <si>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</si>
  <si>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</si>
  <si>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</si>
  <si>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</si>
  <si>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</si>
  <si>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</si>
  <si>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</si>
  <si>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</si>
  <si>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</si>
  <si>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</si>
  <si>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</si>
  <si>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</si>
  <si>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</si>
  <si>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</si>
  <si>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</si>
  <si>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</si>
  <si>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</si>
  <si>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</si>
  <si>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</si>
  <si>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</si>
  <si>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</si>
  <si>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</si>
  <si>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</si>
  <si>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</si>
  <si>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</si>
  <si>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</si>
  <si>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</si>
  <si>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</si>
  <si>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</si>
  <si>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</si>
  <si>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</si>
  <si>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</si>
  <si>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</si>
  <si>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</si>
  <si>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</si>
  <si>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</si>
  <si>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</si>
  <si>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</si>
  <si>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</si>
  <si>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</si>
  <si>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</si>
  <si>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</si>
  <si>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</si>
  <si>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</si>
  <si>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</si>
  <si>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</si>
  <si>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</si>
  <si>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</si>
  <si>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</si>
  <si>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</si>
  <si>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</si>
  <si>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</si>
  <si>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</si>
  <si>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</si>
  <si>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</si>
  <si>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</si>
  <si>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</si>
  <si>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</si>
  <si>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</si>
  <si>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</si>
  <si>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</si>
  <si>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</si>
  <si>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</si>
  <si>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</si>
  <si>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</si>
  <si>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</si>
  <si>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</si>
  <si>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</si>
  <si>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</si>
  <si>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</si>
  <si>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</si>
  <si>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</si>
  <si>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</si>
  <si>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</si>
  <si>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</si>
  <si>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</si>
  <si>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</si>
  <si>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</si>
  <si>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</si>
  <si>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</si>
  <si>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</si>
  <si>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</si>
  <si>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</si>
  <si>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</si>
  <si>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</si>
  <si>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</si>
  <si>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</si>
  <si>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</si>
  <si>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</si>
  <si>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</si>
  <si>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</si>
  <si>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</si>
  <si>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</si>
  <si>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</si>
  <si>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</si>
  <si>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</si>
  <si>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</si>
  <si>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</si>
  <si>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</si>
  <si>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</si>
  <si>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</si>
  <si>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</si>
  <si>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</si>
  <si>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</si>
  <si>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</si>
  <si>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</si>
  <si>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</si>
  <si>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</si>
  <si>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</si>
  <si>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</si>
  <si>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</si>
  <si>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</si>
  <si>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</si>
  <si>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</si>
  <si>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</si>
  <si>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</si>
  <si>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</si>
  <si>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</si>
  <si>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</si>
  <si>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</si>
  <si>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</si>
  <si>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</si>
  <si>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</si>
  <si>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</si>
  <si>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</si>
  <si>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</si>
  <si>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</si>
  <si>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</si>
  <si>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</si>
  <si>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</si>
  <si>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</si>
  <si>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</si>
  <si>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</si>
  <si>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</si>
  <si>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</si>
  <si>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</si>
  <si>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</si>
  <si>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</si>
  <si>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</si>
  <si>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</si>
  <si>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</si>
  <si>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</si>
  <si>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</si>
  <si>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</si>
  <si>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</si>
  <si>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</si>
  <si>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</si>
  <si>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</si>
  <si>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</si>
  <si>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</si>
  <si>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</si>
  <si>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</si>
  <si>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</si>
  <si>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</si>
  <si>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</si>
  <si>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</si>
  <si>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</si>
  <si>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</si>
  <si>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</si>
  <si>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</si>
  <si>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</si>
  <si>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</si>
  <si>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</si>
  <si>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</si>
  <si>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</si>
  <si>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</si>
  <si>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</si>
  <si>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</si>
  <si>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</si>
  <si>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</si>
  <si>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</si>
  <si>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</si>
  <si>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</si>
  <si>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</si>
  <si>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</si>
  <si>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</si>
  <si>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</si>
  <si>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</si>
  <si>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</si>
  <si>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</si>
  <si>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</si>
  <si>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</si>
  <si>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</si>
  <si>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</si>
  <si>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</si>
  <si>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</si>
  <si>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</si>
  <si>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</si>
  <si>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</si>
  <si>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</si>
  <si>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</si>
  <si>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</si>
  <si>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</si>
  <si>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</si>
  <si>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</si>
  <si>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</si>
  <si>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</si>
  <si>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</si>
  <si>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</si>
  <si>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</si>
  <si>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</si>
  <si>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</si>
  <si>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</si>
  <si>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</si>
  <si>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</si>
  <si>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</si>
  <si>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</si>
  <si>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</si>
  <si>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</si>
  <si>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</si>
  <si>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</si>
  <si>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</si>
  <si>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</si>
  <si>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</si>
  <si>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</si>
  <si>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</si>
  <si>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</si>
  <si>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</si>
  <si>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</si>
  <si>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</si>
  <si>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</si>
  <si>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</si>
  <si>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</si>
  <si>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</si>
  <si>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</si>
  <si>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</si>
  <si>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</si>
  <si>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</si>
  <si>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</si>
  <si>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</si>
  <si>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</si>
  <si>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</si>
  <si>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</si>
  <si>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</si>
  <si>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</si>
  <si>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</si>
  <si>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</si>
  <si>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</si>
  <si>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</si>
  <si>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</si>
  <si>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</si>
  <si>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</si>
  <si>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</si>
  <si>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</si>
  <si>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</si>
  <si>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</si>
  <si>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</si>
  <si>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</si>
  <si>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</si>
  <si>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</si>
  <si>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</si>
  <si>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</si>
  <si>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</si>
  <si>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</si>
  <si>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</si>
  <si>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</si>
  <si>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</si>
  <si>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</si>
  <si>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</si>
  <si>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</si>
  <si>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</si>
  <si>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</si>
  <si>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</si>
  <si>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</si>
  <si>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</si>
  <si>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</si>
  <si>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</si>
  <si>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</si>
  <si>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</si>
  <si>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</si>
  <si>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</si>
  <si>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</si>
  <si>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</si>
  <si>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</si>
  <si>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</si>
  <si>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</si>
  <si>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</si>
  <si>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</si>
  <si>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</si>
  <si>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</si>
  <si>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</si>
  <si>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</si>
  <si>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</si>
  <si>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</si>
  <si>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</si>
  <si>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</si>
  <si>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</si>
  <si>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</si>
  <si>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</si>
  <si>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</si>
  <si>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</si>
  <si>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</si>
  <si>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</si>
  <si>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</si>
  <si>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</si>
  <si>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</si>
  <si>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</si>
  <si>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</si>
  <si>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</si>
  <si>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</si>
  <si>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</si>
  <si>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</si>
  <si>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</si>
  <si>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</si>
  <si>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</si>
  <si>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</si>
  <si>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</si>
  <si>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</si>
  <si>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</si>
  <si>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</si>
  <si>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</si>
  <si>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</si>
  <si>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</si>
  <si>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</si>
  <si>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</si>
  <si>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</si>
  <si>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</si>
  <si>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</si>
  <si>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</si>
  <si>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</si>
  <si>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</si>
  <si>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</si>
  <si>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</si>
  <si>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</si>
  <si>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</si>
  <si>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</si>
  <si>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</si>
  <si>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</si>
  <si>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</si>
  <si>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</si>
  <si>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</si>
  <si>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</si>
  <si>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</si>
  <si>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</si>
  <si>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</si>
  <si>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</si>
  <si>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</si>
  <si>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</si>
  <si>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</si>
  <si>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</si>
  <si>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</si>
  <si>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</si>
  <si>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</si>
  <si>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</si>
  <si>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</si>
  <si>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</si>
  <si>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</si>
  <si>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</si>
  <si>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</si>
  <si>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</si>
  <si>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</si>
  <si>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</si>
  <si>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</si>
  <si>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</si>
  <si>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</si>
  <si>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</si>
  <si>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</si>
  <si>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</si>
  <si>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</si>
  <si>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</si>
  <si>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</si>
  <si>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</si>
  <si>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</si>
  <si>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</si>
  <si>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</si>
  <si>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</si>
  <si>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</si>
  <si>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</si>
  <si>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</si>
  <si>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</si>
  <si>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</si>
  <si>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</si>
  <si>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</si>
  <si>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</si>
  <si>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</si>
  <si>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</si>
  <si>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</si>
  <si>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</si>
  <si>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</si>
  <si>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</si>
  <si>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</si>
  <si>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</si>
  <si>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</si>
  <si>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</si>
  <si>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</si>
  <si>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</si>
  <si>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</si>
  <si>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</si>
  <si>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</si>
  <si>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</si>
  <si>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</si>
  <si>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</si>
  <si>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</si>
  <si>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</si>
  <si>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</si>
  <si>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</si>
  <si>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</si>
  <si>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</si>
  <si>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</si>
  <si>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</si>
  <si>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</si>
  <si>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</si>
  <si>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</si>
  <si>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</si>
  <si>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</si>
  <si>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</si>
  <si>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</si>
  <si>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</si>
  <si>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</si>
  <si>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</si>
  <si>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</si>
  <si>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</si>
  <si>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</si>
  <si>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</si>
  <si>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</si>
  <si>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</si>
  <si>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</si>
  <si>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</si>
  <si>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</si>
  <si>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</si>
  <si>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</si>
  <si>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</si>
  <si>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</si>
  <si>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</si>
  <si>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</si>
  <si>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</si>
  <si>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</si>
  <si>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</si>
  <si>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</si>
  <si>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</si>
  <si>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</si>
  <si>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</si>
  <si>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</si>
  <si>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</si>
  <si>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</si>
  <si>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</si>
  <si>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</si>
  <si>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</si>
  <si>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</si>
  <si>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</si>
  <si>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</si>
  <si>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</si>
  <si>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</si>
  <si>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</si>
  <si>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</si>
  <si>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</si>
  <si>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</si>
  <si>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</si>
  <si>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</si>
  <si>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</si>
  <si>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</si>
  <si>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</si>
  <si>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</si>
  <si>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</si>
  <si>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</si>
  <si>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</si>
  <si>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</si>
  <si>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</si>
  <si>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</si>
  <si>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</si>
  <si>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</si>
  <si>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</si>
  <si>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</si>
  <si>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</si>
  <si>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</si>
  <si>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</si>
  <si>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</si>
  <si>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</si>
  <si>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</si>
  <si>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</si>
  <si>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</si>
  <si>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</si>
  <si>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</si>
  <si>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</si>
  <si>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</si>
  <si>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</si>
  <si>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</si>
  <si>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</si>
  <si>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</si>
  <si>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</si>
  <si>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</si>
  <si>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</si>
  <si>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</si>
  <si>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</si>
  <si>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</si>
  <si>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</si>
  <si>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</si>
  <si>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</si>
  <si>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</si>
  <si>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</si>
  <si>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</si>
  <si>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</si>
  <si>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</si>
  <si>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</si>
  <si>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</si>
  <si>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</si>
  <si>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</si>
  <si>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</si>
  <si>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</si>
  <si>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</si>
  <si>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</si>
  <si>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</si>
  <si>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</si>
  <si>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</si>
  <si>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</si>
  <si>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</si>
  <si>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</si>
  <si>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</si>
  <si>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</si>
  <si>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</si>
  <si>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</si>
  <si>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</si>
  <si>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</si>
  <si>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</si>
  <si>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</si>
  <si>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</si>
  <si>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</si>
  <si>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</si>
  <si>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</si>
  <si>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</si>
  <si>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</si>
  <si>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</si>
  <si>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</si>
  <si>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</si>
  <si>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</si>
  <si>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</si>
  <si>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</si>
  <si>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</si>
  <si>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</si>
  <si>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</si>
  <si>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</si>
  <si>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</si>
  <si>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</si>
  <si>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</si>
  <si>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</si>
  <si>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</si>
  <si>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</si>
  <si>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</si>
  <si>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</si>
  <si>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</si>
  <si>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</si>
  <si>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</si>
  <si>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</si>
  <si>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</si>
  <si>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</si>
  <si>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</si>
  <si>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</si>
  <si>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</si>
  <si>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</si>
  <si>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</si>
  <si>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</si>
  <si>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</si>
  <si>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</si>
  <si>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</si>
  <si>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</si>
  <si>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</si>
  <si>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</si>
  <si>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</si>
  <si>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</si>
  <si>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</si>
  <si>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</si>
  <si>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</si>
  <si>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</si>
  <si>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</si>
  <si>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</si>
  <si>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</si>
  <si>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</si>
  <si>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</si>
  <si>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</si>
  <si>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</si>
  <si>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</si>
  <si>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</si>
  <si>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</si>
  <si>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</si>
  <si>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</si>
  <si>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</si>
  <si>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</si>
  <si>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</si>
  <si>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</si>
  <si>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</si>
  <si>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</si>
  <si>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</si>
  <si>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</si>
  <si>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</si>
  <si>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</si>
  <si>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</si>
  <si>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</si>
  <si>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</si>
  <si>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</si>
  <si>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</si>
  <si>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</si>
  <si>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</si>
  <si>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</si>
  <si>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</si>
  <si>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</si>
  <si>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</si>
  <si>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</si>
  <si>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</si>
  <si>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</si>
  <si>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</si>
  <si>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</si>
  <si>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</si>
  <si>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</si>
  <si>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</si>
  <si>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</si>
  <si>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</si>
  <si>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</si>
  <si>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</si>
  <si>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</si>
  <si>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</si>
  <si>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</si>
  <si>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</si>
  <si>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</si>
  <si>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</si>
  <si>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</si>
  <si>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</si>
  <si>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</si>
  <si>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</si>
  <si>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</si>
  <si>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</si>
  <si>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</si>
  <si>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</si>
  <si>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</si>
  <si>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</si>
  <si>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</si>
  <si>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</si>
  <si>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</si>
  <si>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</si>
  <si>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</si>
  <si>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</si>
  <si>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</si>
  <si>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</si>
  <si>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</si>
  <si>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</si>
  <si>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</si>
  <si>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</si>
  <si>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</si>
  <si>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</si>
  <si>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</si>
  <si>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</si>
  <si>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</si>
  <si>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</si>
  <si>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</si>
  <si>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</si>
  <si>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</si>
  <si>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</si>
  <si>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</si>
  <si>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</si>
  <si>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</si>
  <si>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</si>
  <si>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</si>
  <si>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</si>
  <si>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</si>
  <si>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</si>
  <si>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</si>
  <si>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</si>
  <si>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</si>
  <si>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</si>
  <si>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</si>
  <si>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</si>
  <si>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</si>
  <si>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</si>
  <si>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</si>
  <si>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</si>
  <si>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</si>
  <si>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</si>
  <si>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</si>
  <si>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</si>
  <si>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</si>
  <si>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</si>
  <si>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</si>
  <si>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</si>
  <si>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</si>
  <si>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</si>
  <si>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</si>
  <si>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</si>
  <si>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</si>
  <si>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</si>
  <si>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</si>
  <si>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</si>
  <si>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</si>
  <si>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</si>
  <si>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</si>
  <si>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</si>
  <si>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</si>
  <si>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</si>
  <si>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</si>
  <si>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</si>
  <si>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</si>
  <si>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</si>
  <si>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</si>
  <si>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</si>
  <si>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</si>
  <si>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</si>
  <si>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</si>
  <si>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</si>
  <si>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</si>
  <si>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</si>
  <si>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</si>
  <si>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</si>
  <si>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</si>
  <si>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</si>
  <si>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</si>
  <si>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</si>
  <si>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</si>
  <si>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</si>
  <si>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</si>
  <si>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</si>
  <si>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</si>
  <si>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</si>
  <si>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</si>
  <si>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</si>
  <si>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</si>
  <si>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</si>
  <si>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</si>
  <si>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</si>
  <si>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</si>
  <si>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</si>
  <si>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</si>
  <si>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</si>
  <si>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</si>
  <si>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</si>
  <si>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</si>
  <si>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</si>
  <si>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</si>
  <si>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</si>
  <si>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</si>
  <si>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</si>
  <si>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</si>
  <si>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</si>
  <si>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</si>
  <si>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</si>
  <si>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</si>
  <si>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</si>
  <si>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</si>
  <si>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</si>
  <si>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</si>
  <si>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</si>
  <si>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</si>
  <si>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</si>
  <si>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</si>
  <si>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</si>
  <si>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</si>
  <si>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</si>
  <si>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</si>
  <si>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</si>
  <si>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</si>
  <si>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</si>
  <si>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</si>
  <si>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</si>
  <si>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</si>
  <si>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</si>
  <si>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</si>
  <si>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</si>
  <si>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</si>
  <si>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</si>
  <si>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</si>
  <si>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</si>
  <si>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</si>
  <si>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</si>
  <si>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</si>
  <si>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</si>
  <si>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</si>
  <si>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</si>
  <si>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</si>
  <si>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</si>
  <si>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</si>
  <si>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</si>
  <si>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</si>
  <si>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</si>
  <si>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</si>
  <si>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</si>
  <si>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</si>
  <si>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</si>
  <si>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</si>
  <si>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</si>
  <si>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</si>
  <si>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</si>
  <si>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</si>
  <si>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</si>
  <si>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</si>
  <si>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</si>
  <si>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</si>
  <si>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</si>
  <si>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</si>
  <si>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</si>
  <si>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</si>
  <si>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</si>
  <si>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</si>
  <si>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</si>
  <si>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</si>
  <si>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</si>
  <si>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</si>
  <si>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</si>
  <si>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</si>
  <si>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</si>
  <si>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</si>
  <si>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</si>
  <si>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</si>
  <si>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</si>
  <si>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</si>
  <si>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</si>
  <si>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</si>
  <si>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</si>
  <si>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</si>
  <si>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</si>
  <si>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</si>
  <si>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</si>
  <si>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</si>
  <si>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</si>
  <si>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</si>
  <si>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</si>
  <si>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</si>
  <si>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</si>
  <si>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</si>
  <si>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</si>
  <si>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</si>
  <si>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</si>
  <si>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</si>
  <si>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</si>
  <si>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</si>
  <si>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</si>
  <si>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</si>
  <si>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</si>
  <si>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</si>
  <si>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</si>
  <si>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</si>
  <si>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</si>
  <si>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</si>
  <si>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</si>
  <si>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</si>
  <si>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</si>
  <si>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</si>
  <si>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</si>
  <si>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</si>
  <si>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</si>
  <si>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</si>
  <si>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</si>
  <si>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</si>
  <si>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</si>
  <si>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</si>
  <si>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</si>
  <si>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</si>
  <si>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</si>
  <si>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</si>
  <si>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</si>
  <si>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</si>
  <si>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</si>
  <si>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</si>
  <si>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</si>
  <si>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</si>
  <si>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</si>
  <si>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</si>
  <si>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</si>
  <si>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</si>
  <si>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</si>
  <si>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</si>
  <si>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</si>
  <si>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</si>
  <si>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</si>
  <si>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</si>
  <si>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</si>
  <si>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</si>
  <si>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</si>
  <si>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</si>
  <si>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</si>
  <si>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</si>
  <si>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</si>
  <si>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</si>
  <si>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</si>
  <si>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</si>
  <si>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</si>
  <si>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</si>
  <si>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</si>
  <si>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</si>
  <si>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</si>
  <si>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</si>
  <si>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</si>
  <si>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</si>
  <si>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</si>
  <si>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</si>
  <si>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</si>
  <si>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</si>
  <si>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</si>
  <si>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</si>
  <si>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</si>
  <si>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</si>
  <si>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</si>
  <si>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</si>
  <si>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</si>
  <si>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</si>
  <si>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</si>
  <si>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</si>
  <si>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</si>
  <si>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</si>
  <si>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</si>
  <si>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</si>
  <si>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</si>
  <si>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</si>
  <si>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</si>
  <si>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</si>
  <si>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</si>
  <si>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</si>
  <si>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</si>
  <si>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</si>
  <si>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</si>
  <si>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</si>
  <si>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</si>
  <si>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</si>
  <si>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</si>
  <si>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</si>
  <si>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</si>
  <si>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</si>
  <si>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</si>
  <si>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</si>
  <si>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</si>
  <si>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</si>
  <si>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</si>
  <si>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</si>
  <si>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</si>
  <si>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</si>
  <si>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</si>
  <si>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</si>
  <si>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</si>
  <si>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</si>
  <si>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</si>
  <si>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</si>
  <si>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</si>
  <si>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</si>
  <si>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</si>
  <si>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</si>
  <si>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</si>
  <si>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</si>
  <si>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</si>
  <si>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</si>
  <si>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</si>
  <si>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</si>
  <si>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</si>
  <si>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</si>
  <si>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</si>
  <si>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</si>
  <si>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</si>
  <si>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</si>
  <si>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</si>
  <si>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</si>
  <si>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</si>
  <si>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</si>
  <si>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</si>
  <si>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</si>
  <si>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</si>
  <si>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</si>
  <si>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</si>
  <si>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</si>
  <si>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</si>
  <si>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</si>
  <si>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</si>
  <si>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</si>
  <si>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</si>
  <si>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</si>
  <si>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</si>
  <si>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</si>
  <si>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</si>
  <si>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</si>
  <si>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</si>
  <si>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</si>
  <si>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</si>
  <si>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</si>
  <si>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</si>
  <si>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</si>
  <si>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</si>
  <si>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</si>
  <si>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</si>
  <si>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</si>
  <si>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</si>
  <si>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</si>
  <si>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</si>
  <si>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</si>
  <si>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</si>
  <si>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</si>
  <si>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</si>
  <si>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</si>
  <si>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</si>
  <si>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</si>
  <si>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</si>
  <si>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</si>
  <si>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</si>
  <si>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</si>
  <si>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</si>
  <si>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</si>
  <si>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</si>
  <si>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</si>
  <si>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</si>
  <si>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</si>
  <si>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</si>
  <si>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</si>
  <si>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</si>
  <si>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</si>
  <si>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</si>
  <si>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</si>
  <si>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</si>
  <si>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</si>
  <si>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</si>
  <si>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</si>
  <si>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</si>
  <si>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</si>
  <si>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</si>
  <si>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</si>
  <si>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</si>
  <si>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</si>
  <si>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</si>
  <si>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</si>
  <si>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</si>
  <si>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</si>
  <si>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</si>
  <si>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</si>
  <si>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</si>
  <si>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</si>
  <si>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</si>
  <si>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</si>
  <si>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</si>
  <si>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</si>
  <si>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</si>
  <si>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</si>
  <si>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</si>
  <si>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</si>
  <si>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</si>
  <si>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</si>
  <si>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</si>
  <si>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</si>
  <si>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</si>
  <si>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</si>
  <si>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</si>
  <si>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</si>
  <si>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</si>
  <si>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</si>
  <si>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</si>
  <si>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</si>
  <si>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</si>
  <si>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</si>
  <si>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</si>
  <si>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</si>
  <si>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</si>
  <si>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</si>
  <si>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</si>
  <si>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</si>
  <si>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</si>
  <si>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</si>
  <si>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</si>
  <si>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</si>
  <si>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</si>
  <si>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</si>
  <si>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</si>
  <si>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</si>
  <si>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</si>
  <si>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</si>
  <si>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</si>
  <si>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</si>
  <si>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</si>
  <si>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</si>
  <si>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</si>
  <si>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</si>
  <si>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</si>
  <si>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</si>
  <si>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</si>
  <si>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</si>
  <si>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</si>
  <si>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</si>
  <si>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</si>
  <si>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</si>
  <si>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</si>
  <si>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</si>
  <si>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</si>
  <si>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</si>
  <si>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</si>
  <si>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</si>
  <si>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</si>
  <si>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</si>
  <si>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</si>
  <si>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</si>
  <si>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</si>
  <si>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</si>
  <si>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</si>
  <si>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</si>
  <si>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</si>
  <si>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</si>
  <si>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</si>
  <si>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</si>
  <si>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</si>
  <si>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</si>
  <si>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</si>
  <si>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</si>
  <si>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</si>
  <si>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</si>
  <si>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</si>
  <si>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</si>
  <si>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</si>
  <si>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</si>
  <si>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</si>
  <si>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</si>
  <si>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</si>
  <si>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</si>
  <si>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</si>
  <si>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</si>
  <si>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</si>
  <si>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</si>
  <si>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</si>
  <si>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</si>
  <si>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</si>
  <si>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</si>
  <si>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</si>
  <si>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</si>
  <si>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</si>
  <si>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</si>
  <si>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</si>
  <si>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</si>
  <si>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</si>
  <si>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</si>
  <si>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</si>
  <si>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</si>
  <si>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</si>
  <si>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</si>
  <si>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</si>
  <si>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</si>
  <si>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</si>
  <si>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</si>
  <si>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</si>
  <si>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</si>
  <si>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</si>
  <si>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</si>
  <si>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</si>
  <si>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</si>
  <si>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</si>
  <si>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</si>
  <si>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</si>
  <si>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</si>
  <si>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</si>
  <si>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</si>
  <si>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</si>
  <si>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</si>
  <si>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</si>
  <si>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</si>
  <si>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</si>
  <si>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</si>
  <si>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</si>
  <si>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</si>
  <si>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</si>
  <si>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</si>
  <si>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</si>
  <si>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</si>
  <si>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</si>
  <si>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</si>
  <si>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</si>
  <si>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</si>
  <si>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</si>
  <si>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</si>
  <si>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</si>
  <si>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</si>
  <si>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</si>
  <si>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</si>
  <si>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</si>
  <si>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</si>
  <si>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</si>
  <si>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</si>
  <si>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</si>
  <si>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</si>
  <si>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</si>
  <si>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</si>
  <si>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</si>
  <si>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</si>
  <si>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</si>
  <si>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</si>
  <si>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</si>
  <si>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</si>
  <si>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</si>
  <si>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</si>
  <si>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</si>
  <si>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</si>
  <si>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</si>
  <si>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</si>
  <si>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</si>
  <si>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</si>
  <si>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</si>
  <si>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</si>
  <si>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</si>
  <si>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</si>
  <si>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</si>
  <si>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</si>
  <si>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</si>
  <si>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</si>
  <si>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</si>
  <si>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</si>
  <si>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</si>
  <si>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</si>
  <si>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</si>
  <si>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</si>
  <si>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</si>
  <si>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</si>
  <si>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</si>
  <si>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</si>
  <si>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</si>
  <si>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</si>
  <si>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</si>
  <si>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</si>
  <si>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</si>
  <si>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</si>
  <si>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</si>
  <si>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</si>
  <si>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</si>
  <si>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</si>
  <si>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</si>
  <si>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</si>
  <si>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</si>
  <si>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</si>
  <si>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</si>
  <si>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</si>
  <si>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</si>
  <si>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</si>
  <si>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</si>
  <si>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</si>
  <si>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</si>
  <si>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</si>
  <si>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</si>
  <si>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</si>
  <si>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</si>
  <si>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</si>
  <si>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</si>
  <si>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</si>
  <si>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</si>
  <si>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</si>
  <si>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</si>
  <si>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</si>
  <si>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</si>
  <si>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</si>
  <si>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</si>
  <si>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</si>
  <si>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</si>
  <si>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</si>
  <si>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</si>
  <si>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</si>
  <si>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SAN MIGUEL DE ALLENDE</t>
  </si>
  <si>
    <t>Al 31 de diciembre de 2017 y al 30 de junio de 2018 (b)</t>
  </si>
  <si>
    <t>Del 1 de enero al 30 de junio de 2018 (b)</t>
  </si>
  <si>
    <t>d) APP 4</t>
  </si>
  <si>
    <t>e) APP 5</t>
  </si>
  <si>
    <t>f) APP 6</t>
  </si>
  <si>
    <t>g) APP 7</t>
  </si>
  <si>
    <t>h) APP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</si>
</sst>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" fontId="18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2" t="s">
        <v>828</v>
      </c>
      <c r="B1" s="153"/>
      <c r="C1" s="153"/>
      <c r="D1" s="153"/>
      <c r="E1" s="15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55" t="s">
        <v>3301</v>
      </c>
      <c r="D3" s="15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C65" sqref="C6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8" t="s">
        <v>541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6" t="str">
        <f>ENTE_PUBLICO_A</f>
        <v>MUNICIPIO DE SAN MIGUEL DE ALLENDE, Gobierno del Estado de Guanajuato (a)</v>
      </c>
      <c r="B2" s="157"/>
      <c r="C2" s="157"/>
      <c r="D2" s="158"/>
    </row>
    <row r="3" spans="1:11" ht="14.25" x14ac:dyDescent="0.45">
      <c r="A3" s="159" t="s">
        <v>165</v>
      </c>
      <c r="B3" s="160"/>
      <c r="C3" s="160"/>
      <c r="D3" s="161"/>
    </row>
    <row r="4" spans="1:11" ht="14.25" x14ac:dyDescent="0.45">
      <c r="A4" s="162" t="str">
        <f>TRIMESTRE</f>
        <v>Del 1 de enero al 30 de junio de 2018 (b)</v>
      </c>
      <c r="B4" s="163"/>
      <c r="C4" s="163"/>
      <c r="D4" s="164"/>
    </row>
    <row r="5" spans="1:11" ht="14.25" x14ac:dyDescent="0.45">
      <c r="A5" s="165" t="s">
        <v>118</v>
      </c>
      <c r="B5" s="166"/>
      <c r="C5" s="166"/>
      <c r="D5" s="167"/>
    </row>
    <row r="6" spans="1:11" ht="14.25" x14ac:dyDescent="0.45"/>
    <row r="7" spans="1:11" ht="39" customHeight="1" x14ac:dyDescent="0.45">
      <c r="A7" s="116" t="s">
        <v>0</v>
      </c>
      <c r="B7" s="45" t="s">
        <v>180</v>
      </c>
      <c r="C7" s="45" t="s">
        <v>166</v>
      </c>
      <c r="D7" s="45" t="s">
        <v>181</v>
      </c>
    </row>
    <row r="8" spans="1:11" ht="14.25" x14ac:dyDescent="0.45">
      <c r="A8" s="55" t="s">
        <v>167</v>
      </c>
      <c r="B8" s="40">
        <f>SUM(B9:B11)</f>
        <v>760329673.97000003</v>
      </c>
      <c r="C8" s="40">
        <f t="shared" ref="C8:D8" si="0">SUM(C9:C11)</f>
        <v>537188914.25</v>
      </c>
      <c r="D8" s="40">
        <f t="shared" si="0"/>
        <v>537189303.49000001</v>
      </c>
    </row>
    <row r="9" spans="1:11" x14ac:dyDescent="0.25">
      <c r="A9" s="53" t="s">
        <v>168</v>
      </c>
      <c r="B9" s="23">
        <v>549768323.64999998</v>
      </c>
      <c r="C9" s="23">
        <v>384647750.43000001</v>
      </c>
      <c r="D9" s="23">
        <v>384648139.67000002</v>
      </c>
    </row>
    <row r="10" spans="1:11" x14ac:dyDescent="0.25">
      <c r="A10" s="53" t="s">
        <v>169</v>
      </c>
      <c r="B10" s="23">
        <v>217181527</v>
      </c>
      <c r="C10" s="23">
        <v>155507635.81999999</v>
      </c>
      <c r="D10" s="23">
        <v>155507635.81999999</v>
      </c>
    </row>
    <row r="11" spans="1:11" ht="14.25" x14ac:dyDescent="0.45">
      <c r="A11" s="53" t="s">
        <v>170</v>
      </c>
      <c r="B11" s="23">
        <f>B44</f>
        <v>-6620176.6799999997</v>
      </c>
      <c r="C11" s="23">
        <f t="shared" ref="C11" si="1">C44</f>
        <v>-2966472</v>
      </c>
      <c r="D11" s="23">
        <f>D44</f>
        <v>-2966472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179</v>
      </c>
      <c r="B13" s="40">
        <f>B14+B15</f>
        <v>766949850.64999998</v>
      </c>
      <c r="C13" s="40">
        <f t="shared" ref="C13:D13" si="2">C14+C15</f>
        <v>400179321.02999997</v>
      </c>
      <c r="D13" s="40">
        <f t="shared" si="2"/>
        <v>399506530.74000001</v>
      </c>
    </row>
    <row r="14" spans="1:11" x14ac:dyDescent="0.25">
      <c r="A14" s="53" t="s">
        <v>171</v>
      </c>
      <c r="B14" s="23">
        <v>549768323.64999998</v>
      </c>
      <c r="C14" s="23">
        <v>234482445.16999999</v>
      </c>
      <c r="D14" s="23">
        <v>234035214.99000001</v>
      </c>
    </row>
    <row r="15" spans="1:11" x14ac:dyDescent="0.25">
      <c r="A15" s="53" t="s">
        <v>172</v>
      </c>
      <c r="B15" s="23">
        <v>217181527</v>
      </c>
      <c r="C15" s="23">
        <v>165696875.86000001</v>
      </c>
      <c r="D15" s="23">
        <v>165471315.75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173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174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175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176</v>
      </c>
      <c r="B21" s="40">
        <f>B8-B13+B17</f>
        <v>-6620176.6799999475</v>
      </c>
      <c r="C21" s="40">
        <f t="shared" ref="C21:D21" si="4">C8-C13+C17</f>
        <v>137009593.22000003</v>
      </c>
      <c r="D21" s="40">
        <f t="shared" si="4"/>
        <v>137682772.75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177</v>
      </c>
      <c r="B23" s="40">
        <f>B21-B11</f>
        <v>5.2154064178466797E-8</v>
      </c>
      <c r="C23" s="40">
        <f t="shared" ref="C23:D23" si="5">C21-C11</f>
        <v>139976065.22000003</v>
      </c>
      <c r="D23" s="40">
        <f t="shared" si="5"/>
        <v>140649244.75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178</v>
      </c>
      <c r="B25" s="40">
        <f>B23-B17</f>
        <v>5.2154064178466797E-8</v>
      </c>
      <c r="C25" s="40">
        <f t="shared" ref="C25" si="6">C23-C17</f>
        <v>139976065.22000003</v>
      </c>
      <c r="D25" s="40">
        <f>D23-D17</f>
        <v>140649244.75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182</v>
      </c>
      <c r="B28" s="45" t="s">
        <v>183</v>
      </c>
      <c r="C28" s="45" t="s">
        <v>166</v>
      </c>
      <c r="D28" s="45" t="s">
        <v>184</v>
      </c>
    </row>
    <row r="29" spans="1:4" ht="14.25" x14ac:dyDescent="0.45">
      <c r="A29" s="55" t="s">
        <v>185</v>
      </c>
      <c r="B29" s="61">
        <f>B30+B31</f>
        <v>3644905.2</v>
      </c>
      <c r="C29" s="61">
        <f t="shared" ref="C29:D29" si="7">C30+C31</f>
        <v>1352713.23</v>
      </c>
      <c r="D29" s="61">
        <f t="shared" si="7"/>
        <v>1352713.23</v>
      </c>
    </row>
    <row r="30" spans="1:4" x14ac:dyDescent="0.25">
      <c r="A30" s="53" t="s">
        <v>186</v>
      </c>
      <c r="B30" s="149">
        <v>0</v>
      </c>
      <c r="C30" s="149">
        <v>0</v>
      </c>
      <c r="D30" s="149">
        <v>0</v>
      </c>
    </row>
    <row r="31" spans="1:4" x14ac:dyDescent="0.25">
      <c r="A31" s="53" t="s">
        <v>187</v>
      </c>
      <c r="B31" s="149">
        <v>3644905.2</v>
      </c>
      <c r="C31" s="149">
        <v>1352713.23</v>
      </c>
      <c r="D31" s="149">
        <v>1352713.23</v>
      </c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188</v>
      </c>
      <c r="B33" s="61">
        <f>B25+B29</f>
        <v>3644905.2000000523</v>
      </c>
      <c r="C33" s="61">
        <f t="shared" ref="C33:D33" si="8">C25+C29</f>
        <v>141328778.45000002</v>
      </c>
      <c r="D33" s="61">
        <f t="shared" si="8"/>
        <v>142001957.97999999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182</v>
      </c>
      <c r="B36" s="45" t="s">
        <v>189</v>
      </c>
      <c r="C36" s="45" t="s">
        <v>166</v>
      </c>
      <c r="D36" s="45" t="s">
        <v>181</v>
      </c>
    </row>
    <row r="37" spans="1:4" x14ac:dyDescent="0.25">
      <c r="A37" s="55" t="s">
        <v>190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191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192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193</v>
      </c>
      <c r="B40" s="61">
        <f>B41+B42</f>
        <v>6620176.6799999997</v>
      </c>
      <c r="C40" s="61">
        <f t="shared" ref="C40:D40" si="10">C41+C42</f>
        <v>2966472</v>
      </c>
      <c r="D40" s="61">
        <f t="shared" si="10"/>
        <v>2966472</v>
      </c>
    </row>
    <row r="41" spans="1:4" x14ac:dyDescent="0.25">
      <c r="A41" s="53" t="s">
        <v>194</v>
      </c>
      <c r="B41" s="149">
        <v>0</v>
      </c>
      <c r="C41" s="149">
        <v>0</v>
      </c>
      <c r="D41" s="149">
        <v>0</v>
      </c>
    </row>
    <row r="42" spans="1:4" x14ac:dyDescent="0.25">
      <c r="A42" s="53" t="s">
        <v>195</v>
      </c>
      <c r="B42" s="149">
        <v>6620176.6799999997</v>
      </c>
      <c r="C42" s="149">
        <v>2966472</v>
      </c>
      <c r="D42" s="149">
        <v>2966472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196</v>
      </c>
      <c r="B44" s="61">
        <f>B37-B40</f>
        <v>-6620176.6799999997</v>
      </c>
      <c r="C44" s="61">
        <f t="shared" ref="C44:D44" si="11">C37-C40</f>
        <v>-2966472</v>
      </c>
      <c r="D44" s="61">
        <f t="shared" si="11"/>
        <v>-2966472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182</v>
      </c>
      <c r="B47" s="45" t="s">
        <v>189</v>
      </c>
      <c r="C47" s="45" t="s">
        <v>166</v>
      </c>
      <c r="D47" s="45" t="s">
        <v>181</v>
      </c>
    </row>
    <row r="48" spans="1:4" x14ac:dyDescent="0.25">
      <c r="A48" s="126" t="s">
        <v>197</v>
      </c>
      <c r="B48" s="124">
        <f>B9</f>
        <v>549768323.64999998</v>
      </c>
      <c r="C48" s="124">
        <f>C9</f>
        <v>384647750.43000001</v>
      </c>
      <c r="D48" s="124">
        <f t="shared" ref="D48" si="12">D9</f>
        <v>384648139.67000002</v>
      </c>
    </row>
    <row r="49" spans="1:4" x14ac:dyDescent="0.25">
      <c r="A49" s="127" t="s">
        <v>198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191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194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171</v>
      </c>
      <c r="B53" s="60">
        <f>B14</f>
        <v>549768323.64999998</v>
      </c>
      <c r="C53" s="60">
        <f t="shared" ref="C53:D53" si="14">C14</f>
        <v>234482445.16999999</v>
      </c>
      <c r="D53" s="60">
        <f t="shared" si="14"/>
        <v>234035214.99000001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174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200</v>
      </c>
      <c r="B57" s="61">
        <f>B48+B49-B53+B55</f>
        <v>0</v>
      </c>
      <c r="C57" s="61">
        <f>C48+C49-C53+C55</f>
        <v>150165305.26000002</v>
      </c>
      <c r="D57" s="61">
        <f t="shared" ref="D57" si="16">D48+D49-D53+D55</f>
        <v>150612924.68000001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199</v>
      </c>
      <c r="B59" s="61">
        <f>B57-B49</f>
        <v>0</v>
      </c>
      <c r="C59" s="61">
        <f t="shared" ref="C59:D59" si="17">C57-C49</f>
        <v>150165305.26000002</v>
      </c>
      <c r="D59" s="61">
        <f t="shared" si="17"/>
        <v>150612924.68000001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182</v>
      </c>
      <c r="B62" s="45" t="s">
        <v>189</v>
      </c>
      <c r="C62" s="45" t="s">
        <v>166</v>
      </c>
      <c r="D62" s="45" t="s">
        <v>181</v>
      </c>
    </row>
    <row r="63" spans="1:4" x14ac:dyDescent="0.25">
      <c r="A63" s="126" t="s">
        <v>169</v>
      </c>
      <c r="B63" s="122">
        <f>B10</f>
        <v>217181527</v>
      </c>
      <c r="C63" s="122">
        <f t="shared" ref="C63:D63" si="18">C10</f>
        <v>155507635.81999999</v>
      </c>
      <c r="D63" s="122">
        <f t="shared" si="18"/>
        <v>155507635.81999999</v>
      </c>
    </row>
    <row r="64" spans="1:4" ht="30" x14ac:dyDescent="0.25">
      <c r="A64" s="127" t="s">
        <v>201</v>
      </c>
      <c r="B64" s="40">
        <f>B65-B66</f>
        <v>-6620176.6799999997</v>
      </c>
      <c r="C64" s="40">
        <f t="shared" ref="C64:D64" si="19">C65-C66</f>
        <v>-2966472</v>
      </c>
      <c r="D64" s="40">
        <f t="shared" si="19"/>
        <v>-2966472</v>
      </c>
    </row>
    <row r="65" spans="1:4" x14ac:dyDescent="0.25">
      <c r="A65" s="128" t="s">
        <v>192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195</v>
      </c>
      <c r="B66" s="149">
        <v>6620176.6799999997</v>
      </c>
      <c r="C66" s="149">
        <v>2966472</v>
      </c>
      <c r="D66" s="149">
        <v>2966472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202</v>
      </c>
      <c r="B68" s="23">
        <f>B15</f>
        <v>217181527</v>
      </c>
      <c r="C68" s="23">
        <f t="shared" ref="C68:D68" si="20">C15</f>
        <v>165696875.86000001</v>
      </c>
      <c r="D68" s="23">
        <f t="shared" si="20"/>
        <v>165471315.75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175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204</v>
      </c>
      <c r="B72" s="40">
        <f>B63+B64-B68+B70</f>
        <v>-6620176.6800000072</v>
      </c>
      <c r="C72" s="40">
        <f t="shared" ref="C72:D72" si="22">C63+C64-C68+C70</f>
        <v>-13155712.040000021</v>
      </c>
      <c r="D72" s="40">
        <f t="shared" si="22"/>
        <v>-12930151.930000007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203</v>
      </c>
      <c r="B74" s="40">
        <f>B72-B64</f>
        <v>-7.4505805969238281E-9</v>
      </c>
      <c r="C74" s="40">
        <f>C72-C64</f>
        <v>-10189240.040000021</v>
      </c>
      <c r="D74" s="40">
        <f t="shared" ref="D74" si="23">D72-D64</f>
        <v>-9963679.9300000072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760329673.97000003</v>
      </c>
      <c r="Q2" s="18">
        <f>'Formato 4'!C8</f>
        <v>537188914.25</v>
      </c>
      <c r="R2" s="18">
        <f>'Formato 4'!D8</f>
        <v>537189303.49000001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214</v>
      </c>
      <c r="P3" s="18">
        <f>'Formato 4'!B9</f>
        <v>549768323.64999998</v>
      </c>
      <c r="Q3" s="18">
        <f>'Formato 4'!C9</f>
        <v>384647750.43000001</v>
      </c>
      <c r="R3" s="18">
        <f>'Formato 4'!D9</f>
        <v>384648139.67000002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217181527</v>
      </c>
      <c r="Q4" s="18">
        <f>'Formato 4'!C10</f>
        <v>155507635.81999999</v>
      </c>
      <c r="R4" s="18">
        <f>'Formato 4'!D10</f>
        <v>155507635.81999999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-6620176.6799999997</v>
      </c>
      <c r="Q5" s="18">
        <f>'Formato 4'!C11</f>
        <v>-2966472</v>
      </c>
      <c r="R5" s="18">
        <f>'Formato 4'!D11</f>
        <v>-2966472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766949850.64999998</v>
      </c>
      <c r="Q6" s="18">
        <f>'Formato 4'!C13</f>
        <v>400179321.02999997</v>
      </c>
      <c r="R6" s="18">
        <f>'Formato 4'!D13</f>
        <v>399506530.74000001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549768323.64999998</v>
      </c>
      <c r="Q7" s="18">
        <f>'Formato 4'!C14</f>
        <v>234482445.16999999</v>
      </c>
      <c r="R7" s="18">
        <f>'Formato 4'!D14</f>
        <v>234035214.99000001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217181527</v>
      </c>
      <c r="Q8" s="18">
        <f>'Formato 4'!C15</f>
        <v>165696875.86000001</v>
      </c>
      <c r="R8" s="18">
        <f>'Formato 4'!D15</f>
        <v>165471315.75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-6620176.6799999475</v>
      </c>
      <c r="Q12" s="18">
        <f>'Formato 4'!C21</f>
        <v>137009593.22000003</v>
      </c>
      <c r="R12" s="18">
        <f>'Formato 4'!D21</f>
        <v>137682772.75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5.2154064178466797E-8</v>
      </c>
      <c r="Q13" s="18">
        <f>'Formato 4'!C23</f>
        <v>139976065.22000003</v>
      </c>
      <c r="R13" s="18">
        <f>'Formato 4'!D23</f>
        <v>140649244.75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5.2154064178466797E-8</v>
      </c>
      <c r="Q14" s="18">
        <f>'Formato 4'!C25</f>
        <v>139976065.22000003</v>
      </c>
      <c r="R14" s="18">
        <f>'Formato 4'!D25</f>
        <v>140649244.75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3644905.2</v>
      </c>
      <c r="Q15">
        <f>'Formato 4'!C29</f>
        <v>1352713.23</v>
      </c>
      <c r="R15">
        <f>'Formato 4'!D29</f>
        <v>1352713.23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3644905.2</v>
      </c>
      <c r="Q17">
        <f>'Formato 4'!C31</f>
        <v>1352713.23</v>
      </c>
      <c r="R17">
        <f>'Formato 4'!D31</f>
        <v>1352713.23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3644905.2000000523</v>
      </c>
      <c r="Q18">
        <f>'Formato 4'!C33</f>
        <v>141328778.45000002</v>
      </c>
      <c r="R18">
        <f>'Formato 4'!D33</f>
        <v>142001957.97999999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6620176.6799999997</v>
      </c>
      <c r="Q22">
        <f>'Formato 4'!C40</f>
        <v>2966472</v>
      </c>
      <c r="R22">
        <f>'Formato 4'!D40</f>
        <v>2966472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194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195</v>
      </c>
      <c r="P24">
        <f>'Formato 4'!B42</f>
        <v>6620176.6799999997</v>
      </c>
      <c r="Q24">
        <f>'Formato 4'!C42</f>
        <v>2966472</v>
      </c>
      <c r="R24">
        <f>'Formato 4'!D42</f>
        <v>2966472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-6620176.6799999997</v>
      </c>
      <c r="Q25">
        <f>'Formato 4'!C44</f>
        <v>-2966472</v>
      </c>
      <c r="R25">
        <f>'Formato 4'!D44</f>
        <v>-2966472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214</v>
      </c>
      <c r="P26">
        <f>'Formato 4'!B48</f>
        <v>549768323.64999998</v>
      </c>
      <c r="Q26">
        <f>'Formato 4'!C48</f>
        <v>384647750.43000001</v>
      </c>
      <c r="R26">
        <f>'Formato 4'!D48</f>
        <v>384648139.67000002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549768323.64999998</v>
      </c>
      <c r="Q30">
        <f>'Formato 4'!C53</f>
        <v>234482445.16999999</v>
      </c>
      <c r="R30">
        <f>'Formato 4'!D53</f>
        <v>234035214.99000001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217181527</v>
      </c>
      <c r="Q32">
        <f>'Formato 4'!C63</f>
        <v>155507635.81999999</v>
      </c>
      <c r="R32">
        <f>'Formato 4'!D63</f>
        <v>155507635.81999999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-6620176.6799999997</v>
      </c>
      <c r="Q33">
        <f>'Formato 4'!C64</f>
        <v>-2966472</v>
      </c>
      <c r="R33">
        <f>'Formato 4'!D64</f>
        <v>-2966472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6620176.6799999997</v>
      </c>
      <c r="Q35">
        <f>'Formato 4'!C66</f>
        <v>2966472</v>
      </c>
      <c r="R35">
        <f>'Formato 4'!D66</f>
        <v>2966472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217181527</v>
      </c>
      <c r="Q36">
        <f>'Formato 4'!C68</f>
        <v>165696875.86000001</v>
      </c>
      <c r="R36">
        <f>'Formato 4'!D68</f>
        <v>165471315.75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-6620176.6800000072</v>
      </c>
      <c r="Q38">
        <f>'Formato 4'!C72</f>
        <v>-13155712.040000021</v>
      </c>
      <c r="R38">
        <f>'Formato 4'!D72</f>
        <v>-12930151.930000007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-7.4505805969238281E-9</v>
      </c>
      <c r="Q39">
        <f>'Formato 4'!C74</f>
        <v>-10189240.040000021</v>
      </c>
      <c r="R39">
        <f>'Formato 4'!D74</f>
        <v>-9963679.9300000072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64" zoomScale="85" zoomScaleNormal="85" workbookViewId="0">
      <selection activeCell="C22" sqref="C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4" t="s">
        <v>205</v>
      </c>
      <c r="B1" s="174"/>
      <c r="C1" s="174"/>
      <c r="D1" s="174"/>
      <c r="E1" s="174"/>
      <c r="F1" s="174"/>
      <c r="G1" s="174"/>
    </row>
    <row r="2" spans="1:8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8"/>
    </row>
    <row r="3" spans="1:8" x14ac:dyDescent="0.25">
      <c r="A3" s="159" t="s">
        <v>206</v>
      </c>
      <c r="B3" s="160"/>
      <c r="C3" s="160"/>
      <c r="D3" s="160"/>
      <c r="E3" s="160"/>
      <c r="F3" s="160"/>
      <c r="G3" s="161"/>
    </row>
    <row r="4" spans="1:8" ht="14.25" x14ac:dyDescent="0.45">
      <c r="A4" s="162" t="str">
        <f>TRIMESTRE</f>
        <v>Del 1 de enero al 30 de junio de 2018 (b)</v>
      </c>
      <c r="B4" s="163"/>
      <c r="C4" s="163"/>
      <c r="D4" s="163"/>
      <c r="E4" s="163"/>
      <c r="F4" s="163"/>
      <c r="G4" s="164"/>
    </row>
    <row r="5" spans="1:8" ht="14.25" x14ac:dyDescent="0.45">
      <c r="A5" s="165" t="s">
        <v>118</v>
      </c>
      <c r="B5" s="166"/>
      <c r="C5" s="166"/>
      <c r="D5" s="166"/>
      <c r="E5" s="166"/>
      <c r="F5" s="166"/>
      <c r="G5" s="167"/>
    </row>
    <row r="6" spans="1:8" x14ac:dyDescent="0.25">
      <c r="A6" s="171" t="s">
        <v>213</v>
      </c>
      <c r="B6" s="173" t="s">
        <v>207</v>
      </c>
      <c r="C6" s="173"/>
      <c r="D6" s="173"/>
      <c r="E6" s="173"/>
      <c r="F6" s="173"/>
      <c r="G6" s="173" t="s">
        <v>208</v>
      </c>
    </row>
    <row r="7" spans="1:8" ht="30" x14ac:dyDescent="0.25">
      <c r="A7" s="172"/>
      <c r="B7" s="46" t="s">
        <v>209</v>
      </c>
      <c r="C7" s="45" t="s">
        <v>210</v>
      </c>
      <c r="D7" s="46" t="s">
        <v>211</v>
      </c>
      <c r="E7" s="46" t="s">
        <v>166</v>
      </c>
      <c r="F7" s="46" t="s">
        <v>212</v>
      </c>
      <c r="G7" s="173"/>
    </row>
    <row r="8" spans="1:8" x14ac:dyDescent="0.25">
      <c r="A8" s="52" t="s">
        <v>214</v>
      </c>
      <c r="B8" s="12"/>
      <c r="C8" s="12"/>
      <c r="D8" s="12"/>
      <c r="E8" s="12"/>
      <c r="F8" s="12"/>
      <c r="G8" s="12"/>
    </row>
    <row r="9" spans="1:8" x14ac:dyDescent="0.25">
      <c r="A9" s="53" t="s">
        <v>215</v>
      </c>
      <c r="B9" s="60">
        <v>234213457</v>
      </c>
      <c r="C9" s="60">
        <v>34111770.100000001</v>
      </c>
      <c r="D9" s="60">
        <v>268325227.09999999</v>
      </c>
      <c r="E9" s="60">
        <v>202024200.12</v>
      </c>
      <c r="F9" s="60">
        <v>202019589.36000001</v>
      </c>
      <c r="G9" s="60">
        <f t="shared" ref="G9:G28" si="0">F9-B9</f>
        <v>-32193867.639999986</v>
      </c>
      <c r="H9" s="8"/>
    </row>
    <row r="10" spans="1:8" x14ac:dyDescent="0.2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si="0"/>
        <v>0</v>
      </c>
    </row>
    <row r="11" spans="1:8" x14ac:dyDescent="0.25">
      <c r="A11" s="53" t="s">
        <v>217</v>
      </c>
      <c r="B11" s="60">
        <v>1356123</v>
      </c>
      <c r="C11" s="60">
        <v>0</v>
      </c>
      <c r="D11" s="60">
        <v>1356123</v>
      </c>
      <c r="E11" s="60">
        <v>627248.12</v>
      </c>
      <c r="F11" s="60">
        <v>627248.12</v>
      </c>
      <c r="G11" s="60">
        <f t="shared" si="0"/>
        <v>-728874.88</v>
      </c>
    </row>
    <row r="12" spans="1:8" x14ac:dyDescent="0.25">
      <c r="A12" s="53" t="s">
        <v>218</v>
      </c>
      <c r="B12" s="60">
        <v>39934287</v>
      </c>
      <c r="C12" s="60">
        <v>-67251.78</v>
      </c>
      <c r="D12" s="60">
        <v>39867035.219999999</v>
      </c>
      <c r="E12" s="60">
        <v>21209633.920000002</v>
      </c>
      <c r="F12" s="60">
        <v>21209633.920000002</v>
      </c>
      <c r="G12" s="60">
        <f t="shared" si="0"/>
        <v>-18724653.079999998</v>
      </c>
    </row>
    <row r="13" spans="1:8" x14ac:dyDescent="0.25">
      <c r="A13" s="53" t="s">
        <v>219</v>
      </c>
      <c r="B13" s="60">
        <v>17819621</v>
      </c>
      <c r="C13" s="60">
        <v>987277.33</v>
      </c>
      <c r="D13" s="60">
        <v>18806898.329999998</v>
      </c>
      <c r="E13" s="60">
        <v>11920444.84</v>
      </c>
      <c r="F13" s="60">
        <v>11920444.84</v>
      </c>
      <c r="G13" s="60">
        <f t="shared" si="0"/>
        <v>-5899176.1600000001</v>
      </c>
    </row>
    <row r="14" spans="1:8" x14ac:dyDescent="0.25">
      <c r="A14" s="53" t="s">
        <v>220</v>
      </c>
      <c r="B14" s="60">
        <v>36480537.649999999</v>
      </c>
      <c r="C14" s="60">
        <v>2964065.28</v>
      </c>
      <c r="D14" s="60">
        <v>39444602.93</v>
      </c>
      <c r="E14" s="60">
        <v>17641178.550000001</v>
      </c>
      <c r="F14" s="60">
        <v>17646178.550000001</v>
      </c>
      <c r="G14" s="60">
        <f t="shared" si="0"/>
        <v>-18834359.099999998</v>
      </c>
    </row>
    <row r="15" spans="1:8" x14ac:dyDescent="0.25">
      <c r="A15" s="53" t="s">
        <v>221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274</v>
      </c>
      <c r="B16" s="60">
        <f>SUM(B17:B27)</f>
        <v>202510151</v>
      </c>
      <c r="C16" s="60">
        <f t="shared" ref="C16:F16" si="1">SUM(C17:C27)</f>
        <v>30203054</v>
      </c>
      <c r="D16" s="60">
        <f t="shared" si="1"/>
        <v>232713205</v>
      </c>
      <c r="E16" s="60">
        <f t="shared" si="1"/>
        <v>119270167.63</v>
      </c>
      <c r="F16" s="60">
        <f t="shared" si="1"/>
        <v>119270167.63</v>
      </c>
      <c r="G16" s="60">
        <f t="shared" si="0"/>
        <v>-83239983.370000005</v>
      </c>
    </row>
    <row r="17" spans="1:7" x14ac:dyDescent="0.25">
      <c r="A17" s="63" t="s">
        <v>222</v>
      </c>
      <c r="B17" s="60">
        <v>202510151</v>
      </c>
      <c r="C17" s="60">
        <v>30203054</v>
      </c>
      <c r="D17" s="60">
        <v>232713205</v>
      </c>
      <c r="E17" s="60">
        <v>119270167.63</v>
      </c>
      <c r="F17" s="60">
        <v>119270167.63</v>
      </c>
      <c r="G17" s="60">
        <f t="shared" si="0"/>
        <v>-83239983.370000005</v>
      </c>
    </row>
    <row r="18" spans="1:7" x14ac:dyDescent="0.25">
      <c r="A18" s="63" t="s">
        <v>223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0"/>
        <v>0</v>
      </c>
    </row>
    <row r="19" spans="1:7" x14ac:dyDescent="0.25">
      <c r="A19" s="63" t="s">
        <v>224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0"/>
        <v>0</v>
      </c>
    </row>
    <row r="20" spans="1:7" x14ac:dyDescent="0.25">
      <c r="A20" s="63" t="s">
        <v>225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0"/>
        <v>0</v>
      </c>
    </row>
    <row r="21" spans="1:7" x14ac:dyDescent="0.25">
      <c r="A21" s="63" t="s">
        <v>226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0"/>
        <v>0</v>
      </c>
    </row>
    <row r="22" spans="1:7" x14ac:dyDescent="0.25">
      <c r="A22" s="63" t="s">
        <v>227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x14ac:dyDescent="0.25">
      <c r="A23" s="63" t="s">
        <v>228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x14ac:dyDescent="0.25">
      <c r="A24" s="63" t="s">
        <v>229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x14ac:dyDescent="0.25">
      <c r="A25" s="63" t="s">
        <v>230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x14ac:dyDescent="0.25">
      <c r="A26" s="63" t="s">
        <v>231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x14ac:dyDescent="0.25">
      <c r="A27" s="63" t="s">
        <v>232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25">
      <c r="A28" s="53" t="s">
        <v>233</v>
      </c>
      <c r="B28" s="60">
        <f>SUM(B29:B33)</f>
        <v>0</v>
      </c>
      <c r="C28" s="60">
        <f t="shared" ref="C28:F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0"/>
        <v>0</v>
      </c>
    </row>
    <row r="29" spans="1:7" x14ac:dyDescent="0.25">
      <c r="A29" s="63" t="s">
        <v>234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238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ht="14.25" x14ac:dyDescent="0.45">
      <c r="A34" s="53" t="s">
        <v>239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ht="14.25" x14ac:dyDescent="0.45">
      <c r="A35" s="53" t="s">
        <v>240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ht="14.25" x14ac:dyDescent="0.45">
      <c r="A36" s="63" t="s">
        <v>241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242</v>
      </c>
      <c r="B37" s="60">
        <f>B38+B39</f>
        <v>0</v>
      </c>
      <c r="C37" s="60">
        <f t="shared" ref="C37:G37" si="4">C38+C39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ht="14.25" x14ac:dyDescent="0.45">
      <c r="A38" s="63" t="s">
        <v>243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275</v>
      </c>
      <c r="B41" s="61">
        <f>SUM(B9,B10,B11,B12,B13,B14,B15,B16,B28,B34,B35,B37)</f>
        <v>532314176.64999998</v>
      </c>
      <c r="C41" s="61">
        <f t="shared" ref="C41:E41" si="5">SUM(C9,C10,C11,C12,C13,C14,C15,C16,C28,C34,C35,C37)</f>
        <v>68198914.930000007</v>
      </c>
      <c r="D41" s="61">
        <f t="shared" si="5"/>
        <v>600513091.58000004</v>
      </c>
      <c r="E41" s="61">
        <f t="shared" si="5"/>
        <v>372692873.18000007</v>
      </c>
      <c r="F41" s="61">
        <f>SUM(F9,F10,F11,F12,F13,F14,F15,F16,F28,F34,F35,F37)</f>
        <v>372693262.42000008</v>
      </c>
      <c r="G41" s="61">
        <f>SUM(G9,G10,G11,G12,G13,G14,G15,G16,G28,G34,G35,G37)</f>
        <v>-159620914.22999996</v>
      </c>
    </row>
    <row r="42" spans="1:8" x14ac:dyDescent="0.25">
      <c r="A42" s="55" t="s">
        <v>245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246</v>
      </c>
      <c r="B44" s="54"/>
      <c r="C44" s="54"/>
      <c r="D44" s="54"/>
      <c r="E44" s="54"/>
      <c r="F44" s="54"/>
      <c r="G44" s="54"/>
    </row>
    <row r="45" spans="1:8" x14ac:dyDescent="0.25">
      <c r="A45" s="53" t="s">
        <v>247</v>
      </c>
      <c r="B45" s="60">
        <f>SUM(B46:B53)</f>
        <v>1</v>
      </c>
      <c r="C45" s="60">
        <f t="shared" ref="C45:G45" si="6">SUM(C46:C53)</f>
        <v>1</v>
      </c>
      <c r="D45" s="60">
        <f t="shared" si="6"/>
        <v>1</v>
      </c>
      <c r="E45" s="60">
        <f t="shared" si="6"/>
        <v>1</v>
      </c>
      <c r="F45" s="60">
        <f t="shared" si="6"/>
        <v>3</v>
      </c>
      <c r="G45" s="60">
        <f t="shared" si="6"/>
        <v>2</v>
      </c>
    </row>
    <row r="46" spans="1:8" x14ac:dyDescent="0.25">
      <c r="A46" s="69" t="s">
        <v>248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249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251</v>
      </c>
      <c r="B49" s="60">
        <v>1</v>
      </c>
      <c r="C49" s="60">
        <v>1</v>
      </c>
      <c r="D49" s="60">
        <v>1</v>
      </c>
      <c r="E49" s="60">
        <v>1</v>
      </c>
      <c r="F49" s="60">
        <v>3</v>
      </c>
      <c r="G49" s="60">
        <f t="shared" si="7"/>
        <v>2</v>
      </c>
    </row>
    <row r="50" spans="1:7" x14ac:dyDescent="0.25">
      <c r="A50" s="69" t="s">
        <v>252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7"/>
        <v>0</v>
      </c>
    </row>
    <row r="51" spans="1:7" x14ac:dyDescent="0.25">
      <c r="A51" s="69" t="s">
        <v>253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254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255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256</v>
      </c>
      <c r="B54" s="60">
        <f>SUM(B55:B58)</f>
        <v>0</v>
      </c>
      <c r="C54" s="60">
        <f t="shared" ref="C54:G54" si="8">SUM(C55:C58)</f>
        <v>51960894.130000003</v>
      </c>
      <c r="D54" s="60">
        <f t="shared" si="8"/>
        <v>51960894.130000003</v>
      </c>
      <c r="E54" s="60">
        <f t="shared" si="8"/>
        <v>37682203.82</v>
      </c>
      <c r="F54" s="60">
        <f t="shared" si="8"/>
        <v>37682203.82</v>
      </c>
      <c r="G54" s="60">
        <f t="shared" si="8"/>
        <v>37682203.82</v>
      </c>
    </row>
    <row r="55" spans="1:7" x14ac:dyDescent="0.25">
      <c r="A55" s="48" t="s">
        <v>257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9">F56-B56</f>
        <v>0</v>
      </c>
    </row>
    <row r="57" spans="1:7" x14ac:dyDescent="0.25">
      <c r="A57" s="69" t="s">
        <v>259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9"/>
        <v>0</v>
      </c>
    </row>
    <row r="58" spans="1:7" x14ac:dyDescent="0.25">
      <c r="A58" s="48" t="s">
        <v>260</v>
      </c>
      <c r="B58" s="60">
        <v>0</v>
      </c>
      <c r="C58" s="60">
        <v>51960894.130000003</v>
      </c>
      <c r="D58" s="60">
        <v>51960894.130000003</v>
      </c>
      <c r="E58" s="60">
        <v>37682203.82</v>
      </c>
      <c r="F58" s="60">
        <v>37682203.82</v>
      </c>
      <c r="G58" s="60">
        <f t="shared" si="9"/>
        <v>37682203.82</v>
      </c>
    </row>
    <row r="59" spans="1:7" x14ac:dyDescent="0.25">
      <c r="A59" s="53" t="s">
        <v>261</v>
      </c>
      <c r="B59" s="60">
        <f t="shared" ref="B59:G59" si="10">SUM(B60:B61)</f>
        <v>0</v>
      </c>
      <c r="C59" s="60">
        <f t="shared" si="10"/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262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264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265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266</v>
      </c>
      <c r="B65" s="61">
        <f>B45+B54+B59+B62+B63</f>
        <v>1</v>
      </c>
      <c r="C65" s="61">
        <f t="shared" ref="C65:G65" si="11">C45+C54+C59+C62+C63</f>
        <v>51960895.130000003</v>
      </c>
      <c r="D65" s="61">
        <f t="shared" si="11"/>
        <v>51960895.130000003</v>
      </c>
      <c r="E65" s="61">
        <f t="shared" si="11"/>
        <v>37682204.82</v>
      </c>
      <c r="F65" s="61">
        <f t="shared" si="11"/>
        <v>37682206.82</v>
      </c>
      <c r="G65" s="61">
        <f t="shared" si="11"/>
        <v>37682205.82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267</v>
      </c>
      <c r="B67" s="61">
        <f>B68</f>
        <v>0</v>
      </c>
      <c r="C67" s="61">
        <f t="shared" ref="C67:G67" si="12">C68</f>
        <v>450712650.93000001</v>
      </c>
      <c r="D67" s="61">
        <f t="shared" si="12"/>
        <v>450712650.93000001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268</v>
      </c>
      <c r="B68" s="60">
        <v>0</v>
      </c>
      <c r="C68" s="60">
        <v>450712650.93000001</v>
      </c>
      <c r="D68" s="60">
        <v>450712650.93000001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269</v>
      </c>
      <c r="B70" s="61">
        <f>B41+B65+B67</f>
        <v>532314177.64999998</v>
      </c>
      <c r="C70" s="61">
        <f t="shared" ref="C70:G70" si="13">C41+C65+C67</f>
        <v>570872460.99000001</v>
      </c>
      <c r="D70" s="61">
        <f t="shared" si="13"/>
        <v>1103186637.6400001</v>
      </c>
      <c r="E70" s="61">
        <f t="shared" si="13"/>
        <v>410375078.00000006</v>
      </c>
      <c r="F70" s="61">
        <f t="shared" si="13"/>
        <v>410375469.24000007</v>
      </c>
      <c r="G70" s="61">
        <f t="shared" si="13"/>
        <v>-121938708.40999997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270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271</v>
      </c>
      <c r="B73" s="60">
        <v>0</v>
      </c>
      <c r="C73" s="60">
        <v>137047853.22</v>
      </c>
      <c r="D73" s="60">
        <v>137047853.22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272</v>
      </c>
      <c r="B74" s="60">
        <v>0</v>
      </c>
      <c r="C74" s="60">
        <v>313664797.70999998</v>
      </c>
      <c r="D74" s="60">
        <v>313664797.70999998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273</v>
      </c>
      <c r="B75" s="61">
        <f>B73+B74</f>
        <v>0</v>
      </c>
      <c r="C75" s="61">
        <f t="shared" ref="C75:G75" si="14">C73+C74</f>
        <v>450712650.92999995</v>
      </c>
      <c r="D75" s="61">
        <f t="shared" si="14"/>
        <v>450712650.92999995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214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234213457</v>
      </c>
      <c r="Q3" s="18">
        <f>'Formato 5'!C9</f>
        <v>34111770.100000001</v>
      </c>
      <c r="R3" s="18">
        <f>'Formato 5'!D9</f>
        <v>268325227.09999999</v>
      </c>
      <c r="S3" s="18">
        <f>'Formato 5'!E9</f>
        <v>202024200.12</v>
      </c>
      <c r="T3" s="18">
        <f>'Formato 5'!F9</f>
        <v>202019589.36000001</v>
      </c>
      <c r="U3" s="18">
        <f>'Formato 5'!G9</f>
        <v>-32193867.639999986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1356123</v>
      </c>
      <c r="Q5" s="18">
        <f>'Formato 5'!C11</f>
        <v>0</v>
      </c>
      <c r="R5" s="18">
        <f>'Formato 5'!D11</f>
        <v>1356123</v>
      </c>
      <c r="S5" s="18">
        <f>'Formato 5'!E11</f>
        <v>627248.12</v>
      </c>
      <c r="T5" s="18">
        <f>'Formato 5'!F11</f>
        <v>627248.12</v>
      </c>
      <c r="U5" s="18">
        <f>'Formato 5'!G11</f>
        <v>-728874.88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39934287</v>
      </c>
      <c r="Q6" s="18">
        <f>'Formato 5'!C12</f>
        <v>-67251.78</v>
      </c>
      <c r="R6" s="18">
        <f>'Formato 5'!D12</f>
        <v>39867035.219999999</v>
      </c>
      <c r="S6" s="18">
        <f>'Formato 5'!E12</f>
        <v>21209633.920000002</v>
      </c>
      <c r="T6" s="18">
        <f>'Formato 5'!F12</f>
        <v>21209633.920000002</v>
      </c>
      <c r="U6" s="18">
        <f>'Formato 5'!G12</f>
        <v>-18724653.079999998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17819621</v>
      </c>
      <c r="Q7" s="18">
        <f>'Formato 5'!C13</f>
        <v>987277.33</v>
      </c>
      <c r="R7" s="18">
        <f>'Formato 5'!D13</f>
        <v>18806898.329999998</v>
      </c>
      <c r="S7" s="18">
        <f>'Formato 5'!E13</f>
        <v>11920444.84</v>
      </c>
      <c r="T7" s="18">
        <f>'Formato 5'!F13</f>
        <v>11920444.84</v>
      </c>
      <c r="U7" s="18">
        <f>'Formato 5'!G13</f>
        <v>-5899176.1600000001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36480537.649999999</v>
      </c>
      <c r="Q8" s="18">
        <f>'Formato 5'!C14</f>
        <v>2964065.28</v>
      </c>
      <c r="R8" s="18">
        <f>'Formato 5'!D14</f>
        <v>39444602.93</v>
      </c>
      <c r="S8" s="18">
        <f>'Formato 5'!E14</f>
        <v>17641178.550000001</v>
      </c>
      <c r="T8" s="18">
        <f>'Formato 5'!F14</f>
        <v>17646178.550000001</v>
      </c>
      <c r="U8" s="18">
        <f>'Formato 5'!G14</f>
        <v>-18834359.099999998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202510151</v>
      </c>
      <c r="Q10" s="18">
        <f>'Formato 5'!C16</f>
        <v>30203054</v>
      </c>
      <c r="R10" s="18">
        <f>'Formato 5'!D16</f>
        <v>232713205</v>
      </c>
      <c r="S10" s="18">
        <f>'Formato 5'!E16</f>
        <v>119270167.63</v>
      </c>
      <c r="T10" s="18">
        <f>'Formato 5'!F16</f>
        <v>119270167.63</v>
      </c>
      <c r="U10" s="18">
        <f>'Formato 5'!G16</f>
        <v>-83239983.370000005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202510151</v>
      </c>
      <c r="Q11" s="18">
        <f>'Formato 5'!C17</f>
        <v>30203054</v>
      </c>
      <c r="R11" s="18">
        <f>'Formato 5'!D17</f>
        <v>232713205</v>
      </c>
      <c r="S11" s="18">
        <f>'Formato 5'!E17</f>
        <v>119270167.63</v>
      </c>
      <c r="T11" s="18">
        <f>'Formato 5'!F17</f>
        <v>119270167.63</v>
      </c>
      <c r="U11" s="18">
        <f>'Formato 5'!G17</f>
        <v>-83239983.370000005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532314176.64999998</v>
      </c>
      <c r="Q34">
        <f>'Formato 5'!C41</f>
        <v>68198914.930000007</v>
      </c>
      <c r="R34">
        <f>'Formato 5'!D41</f>
        <v>600513091.58000004</v>
      </c>
      <c r="S34">
        <f>'Formato 5'!E41</f>
        <v>372692873.18000007</v>
      </c>
      <c r="T34">
        <f>'Formato 5'!F41</f>
        <v>372693262.42000008</v>
      </c>
      <c r="U34">
        <f>'Formato 5'!G41</f>
        <v>-159620914.22999996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245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246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1</v>
      </c>
      <c r="Q37">
        <f>'Formato 5'!C45</f>
        <v>1</v>
      </c>
      <c r="R37">
        <f>'Formato 5'!D45</f>
        <v>1</v>
      </c>
      <c r="S37">
        <f>'Formato 5'!E45</f>
        <v>1</v>
      </c>
      <c r="T37">
        <f>'Formato 5'!F45</f>
        <v>3</v>
      </c>
      <c r="U37">
        <f>'Formato 5'!G45</f>
        <v>2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1</v>
      </c>
      <c r="Q41">
        <f>'Formato 5'!C49</f>
        <v>1</v>
      </c>
      <c r="R41">
        <f>'Formato 5'!D49</f>
        <v>1</v>
      </c>
      <c r="S41">
        <f>'Formato 5'!E49</f>
        <v>1</v>
      </c>
      <c r="T41">
        <f>'Formato 5'!F49</f>
        <v>3</v>
      </c>
      <c r="U41">
        <f>'Formato 5'!G49</f>
        <v>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51960894.130000003</v>
      </c>
      <c r="R46">
        <f>'Formato 5'!D54</f>
        <v>51960894.130000003</v>
      </c>
      <c r="S46">
        <f>'Formato 5'!E54</f>
        <v>37682203.82</v>
      </c>
      <c r="T46">
        <f>'Formato 5'!F54</f>
        <v>37682203.82</v>
      </c>
      <c r="U46">
        <f>'Formato 5'!G54</f>
        <v>37682203.82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51960894.130000003</v>
      </c>
      <c r="R50">
        <f>'Formato 5'!D58</f>
        <v>51960894.130000003</v>
      </c>
      <c r="S50">
        <f>'Formato 5'!E58</f>
        <v>37682203.82</v>
      </c>
      <c r="T50">
        <f>'Formato 5'!F58</f>
        <v>37682203.82</v>
      </c>
      <c r="U50">
        <f>'Formato 5'!G58</f>
        <v>37682203.82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1</v>
      </c>
      <c r="Q56">
        <f>'Formato 5'!C65</f>
        <v>51960895.130000003</v>
      </c>
      <c r="R56">
        <f>'Formato 5'!D65</f>
        <v>51960895.130000003</v>
      </c>
      <c r="S56">
        <f>'Formato 5'!E65</f>
        <v>37682204.82</v>
      </c>
      <c r="T56">
        <f>'Formato 5'!F65</f>
        <v>37682206.82</v>
      </c>
      <c r="U56">
        <f>'Formato 5'!G65</f>
        <v>37682205.82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450712650.93000001</v>
      </c>
      <c r="R57">
        <f>'Formato 5'!D67</f>
        <v>450712650.93000001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450712650.93000001</v>
      </c>
      <c r="R58">
        <f>'Formato 5'!D68</f>
        <v>450712650.93000001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270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137047853.22</v>
      </c>
      <c r="R60">
        <f>'Formato 5'!D73</f>
        <v>137047853.22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313664797.70999998</v>
      </c>
      <c r="R61">
        <f>'Formato 5'!D74</f>
        <v>313664797.70999998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450712650.92999995</v>
      </c>
      <c r="R62">
        <f>'Formato 5'!D75</f>
        <v>450712650.92999995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4" zoomScaleNormal="100" zoomScalePageLayoutView="90" workbookViewId="0">
      <selection activeCell="B151" sqref="B151:F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5" t="s">
        <v>3284</v>
      </c>
      <c r="B1" s="174"/>
      <c r="C1" s="174"/>
      <c r="D1" s="174"/>
      <c r="E1" s="174"/>
      <c r="F1" s="174"/>
      <c r="G1" s="174"/>
    </row>
    <row r="2" spans="1:7" ht="14.25" x14ac:dyDescent="0.45">
      <c r="A2" s="178" t="str">
        <f>ENTE_PUBLICO_A</f>
        <v>MUNICIPIO DE SAN MIGUEL DE ALLENDE, Gobierno del Estado de Guanajuato (a)</v>
      </c>
      <c r="B2" s="178"/>
      <c r="C2" s="178"/>
      <c r="D2" s="178"/>
      <c r="E2" s="178"/>
      <c r="F2" s="178"/>
      <c r="G2" s="178"/>
    </row>
    <row r="3" spans="1:7" x14ac:dyDescent="0.25">
      <c r="A3" s="179" t="s">
        <v>276</v>
      </c>
      <c r="B3" s="179"/>
      <c r="C3" s="179"/>
      <c r="D3" s="179"/>
      <c r="E3" s="179"/>
      <c r="F3" s="179"/>
      <c r="G3" s="179"/>
    </row>
    <row r="4" spans="1:7" x14ac:dyDescent="0.25">
      <c r="A4" s="179" t="s">
        <v>277</v>
      </c>
      <c r="B4" s="179"/>
      <c r="C4" s="179"/>
      <c r="D4" s="179"/>
      <c r="E4" s="179"/>
      <c r="F4" s="179"/>
      <c r="G4" s="179"/>
    </row>
    <row r="5" spans="1:7" ht="14.25" x14ac:dyDescent="0.45">
      <c r="A5" s="180" t="str">
        <f>TRIMESTRE</f>
        <v>Del 1 de enero al 30 de junio de 2018 (b)</v>
      </c>
      <c r="B5" s="180"/>
      <c r="C5" s="180"/>
      <c r="D5" s="180"/>
      <c r="E5" s="180"/>
      <c r="F5" s="180"/>
      <c r="G5" s="180"/>
    </row>
    <row r="6" spans="1:7" ht="14.25" x14ac:dyDescent="0.45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25">
      <c r="A7" s="176" t="s">
        <v>0</v>
      </c>
      <c r="B7" s="176" t="s">
        <v>278</v>
      </c>
      <c r="C7" s="176"/>
      <c r="D7" s="176"/>
      <c r="E7" s="176"/>
      <c r="F7" s="176"/>
      <c r="G7" s="177" t="s">
        <v>279</v>
      </c>
    </row>
    <row r="8" spans="1:7" ht="30" x14ac:dyDescent="0.25">
      <c r="A8" s="176"/>
      <c r="B8" s="45" t="s">
        <v>280</v>
      </c>
      <c r="C8" s="45" t="s">
        <v>281</v>
      </c>
      <c r="D8" s="45" t="s">
        <v>282</v>
      </c>
      <c r="E8" s="45" t="s">
        <v>166</v>
      </c>
      <c r="F8" s="45" t="s">
        <v>283</v>
      </c>
      <c r="G8" s="176"/>
    </row>
    <row r="9" spans="1:7" ht="14.25" x14ac:dyDescent="0.45">
      <c r="A9" s="82" t="s">
        <v>284</v>
      </c>
      <c r="B9" s="79">
        <f>SUM(B10,B18,B28,B38,B48,B58,B62,B71,B75)</f>
        <v>549768323.64999998</v>
      </c>
      <c r="C9" s="79">
        <f t="shared" ref="C9:G9" si="0">SUM(C10,C18,C28,C38,C48,C58,C62,C71,C75)</f>
        <v>205246768.14999998</v>
      </c>
      <c r="D9" s="79">
        <f t="shared" si="0"/>
        <v>755015091.79999995</v>
      </c>
      <c r="E9" s="79">
        <f t="shared" si="0"/>
        <v>234482445.17000002</v>
      </c>
      <c r="F9" s="79">
        <f t="shared" si="0"/>
        <v>234035214.98999998</v>
      </c>
      <c r="G9" s="79">
        <f t="shared" si="0"/>
        <v>520532646.63</v>
      </c>
    </row>
    <row r="10" spans="1:7" ht="14.25" x14ac:dyDescent="0.45">
      <c r="A10" s="83" t="s">
        <v>285</v>
      </c>
      <c r="B10" s="80">
        <f>SUM(B11:B17)</f>
        <v>137478099.26999998</v>
      </c>
      <c r="C10" s="80">
        <f t="shared" ref="C10:F10" si="1">SUM(C11:C17)</f>
        <v>-3765663.0599999996</v>
      </c>
      <c r="D10" s="80">
        <f t="shared" si="1"/>
        <v>133712436.20999999</v>
      </c>
      <c r="E10" s="80">
        <f t="shared" si="1"/>
        <v>64679420.400000006</v>
      </c>
      <c r="F10" s="80">
        <f t="shared" si="1"/>
        <v>64679420.400000006</v>
      </c>
      <c r="G10" s="80">
        <f>SUM(G11:G17)</f>
        <v>69033015.810000002</v>
      </c>
    </row>
    <row r="11" spans="1:7" x14ac:dyDescent="0.25">
      <c r="A11" s="84" t="s">
        <v>286</v>
      </c>
      <c r="B11" s="80">
        <v>113468338.31</v>
      </c>
      <c r="C11" s="80">
        <v>-3269508.79</v>
      </c>
      <c r="D11" s="80">
        <v>110198829.52</v>
      </c>
      <c r="E11" s="80">
        <v>53477386.270000003</v>
      </c>
      <c r="F11" s="80">
        <v>53477386.270000003</v>
      </c>
      <c r="G11" s="80">
        <f>D11-E11</f>
        <v>56721443.249999993</v>
      </c>
    </row>
    <row r="12" spans="1:7" x14ac:dyDescent="0.25">
      <c r="A12" s="84" t="s">
        <v>287</v>
      </c>
      <c r="B12" s="80"/>
      <c r="C12" s="80"/>
      <c r="D12" s="80">
        <v>0</v>
      </c>
      <c r="E12" s="80"/>
      <c r="F12" s="80"/>
      <c r="G12" s="80">
        <f>D12-E12</f>
        <v>0</v>
      </c>
    </row>
    <row r="13" spans="1:7" x14ac:dyDescent="0.25">
      <c r="A13" s="84" t="s">
        <v>288</v>
      </c>
      <c r="B13" s="80">
        <v>14715634.07</v>
      </c>
      <c r="C13" s="80">
        <v>-413522.47</v>
      </c>
      <c r="D13" s="80">
        <v>14302111.6</v>
      </c>
      <c r="E13" s="80">
        <v>6521012.79</v>
      </c>
      <c r="F13" s="80">
        <v>6521012.79</v>
      </c>
      <c r="G13" s="80">
        <f t="shared" ref="G13:G17" si="2">D13-E13</f>
        <v>7781098.8099999996</v>
      </c>
    </row>
    <row r="14" spans="1:7" x14ac:dyDescent="0.25">
      <c r="A14" s="84" t="s">
        <v>289</v>
      </c>
      <c r="B14" s="80">
        <v>1200000</v>
      </c>
      <c r="C14" s="80">
        <v>0</v>
      </c>
      <c r="D14" s="80">
        <v>1200000</v>
      </c>
      <c r="E14" s="80">
        <v>433322.61</v>
      </c>
      <c r="F14" s="80">
        <v>433322.61</v>
      </c>
      <c r="G14" s="80">
        <f t="shared" si="2"/>
        <v>766677.39</v>
      </c>
    </row>
    <row r="15" spans="1:7" x14ac:dyDescent="0.25">
      <c r="A15" s="84" t="s">
        <v>290</v>
      </c>
      <c r="B15" s="80">
        <v>8094126.8899999997</v>
      </c>
      <c r="C15" s="80">
        <v>-82631.8</v>
      </c>
      <c r="D15" s="80">
        <v>8011495.0899999999</v>
      </c>
      <c r="E15" s="80">
        <v>4247698.7300000004</v>
      </c>
      <c r="F15" s="80">
        <v>4247698.7300000004</v>
      </c>
      <c r="G15" s="80">
        <f t="shared" si="2"/>
        <v>3763796.3599999994</v>
      </c>
    </row>
    <row r="16" spans="1:7" ht="14.25" x14ac:dyDescent="0.45">
      <c r="A16" s="84" t="s">
        <v>291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292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293</v>
      </c>
      <c r="B18" s="80">
        <f>SUM(B19:B27)</f>
        <v>42056559.630000003</v>
      </c>
      <c r="C18" s="80">
        <f t="shared" ref="C18:F18" si="3">SUM(C19:C27)</f>
        <v>1888283.5</v>
      </c>
      <c r="D18" s="80">
        <f t="shared" si="3"/>
        <v>43944843.130000003</v>
      </c>
      <c r="E18" s="80">
        <f t="shared" si="3"/>
        <v>18923682.969999999</v>
      </c>
      <c r="F18" s="80">
        <f t="shared" si="3"/>
        <v>18700581.539999999</v>
      </c>
      <c r="G18" s="80">
        <f>SUM(G19:G27)</f>
        <v>25021160.159999996</v>
      </c>
    </row>
    <row r="19" spans="1:7" x14ac:dyDescent="0.25">
      <c r="A19" s="84" t="s">
        <v>294</v>
      </c>
      <c r="B19" s="80">
        <v>4263663.0599999996</v>
      </c>
      <c r="C19" s="80">
        <v>690434.42</v>
      </c>
      <c r="D19" s="80">
        <f t="shared" ref="D19:D27" si="4">B19+C19</f>
        <v>4954097.4799999995</v>
      </c>
      <c r="E19" s="80">
        <v>2139992.7200000002</v>
      </c>
      <c r="F19" s="80">
        <v>2097916.23</v>
      </c>
      <c r="G19" s="80">
        <f>D19-E19</f>
        <v>2814104.7599999993</v>
      </c>
    </row>
    <row r="20" spans="1:7" x14ac:dyDescent="0.25">
      <c r="A20" s="84" t="s">
        <v>295</v>
      </c>
      <c r="B20" s="80">
        <v>1297113.25</v>
      </c>
      <c r="C20" s="80">
        <v>37532.97</v>
      </c>
      <c r="D20" s="80">
        <f t="shared" si="4"/>
        <v>1334646.22</v>
      </c>
      <c r="E20" s="80">
        <v>615982.34</v>
      </c>
      <c r="F20" s="80">
        <v>610741.84</v>
      </c>
      <c r="G20" s="80">
        <f t="shared" ref="G20:G27" si="5">D20-E20</f>
        <v>718663.88</v>
      </c>
    </row>
    <row r="21" spans="1:7" x14ac:dyDescent="0.25">
      <c r="A21" s="84" t="s">
        <v>296</v>
      </c>
      <c r="B21" s="80">
        <v>32500</v>
      </c>
      <c r="C21" s="80">
        <v>23444.6</v>
      </c>
      <c r="D21" s="80">
        <f t="shared" si="4"/>
        <v>55944.6</v>
      </c>
      <c r="E21" s="80">
        <v>151</v>
      </c>
      <c r="F21" s="80">
        <v>151</v>
      </c>
      <c r="G21" s="80">
        <f t="shared" si="5"/>
        <v>55793.599999999999</v>
      </c>
    </row>
    <row r="22" spans="1:7" x14ac:dyDescent="0.25">
      <c r="A22" s="84" t="s">
        <v>297</v>
      </c>
      <c r="B22" s="80">
        <v>7912542.7400000002</v>
      </c>
      <c r="C22" s="80">
        <v>888911.35999999999</v>
      </c>
      <c r="D22" s="80">
        <f t="shared" si="4"/>
        <v>8801454.0999999996</v>
      </c>
      <c r="E22" s="80">
        <v>3577050.81</v>
      </c>
      <c r="F22" s="80">
        <v>3569742.81</v>
      </c>
      <c r="G22" s="80">
        <f t="shared" si="5"/>
        <v>5224403.2899999991</v>
      </c>
    </row>
    <row r="23" spans="1:7" x14ac:dyDescent="0.25">
      <c r="A23" s="84" t="s">
        <v>298</v>
      </c>
      <c r="B23" s="80">
        <v>7667099.96</v>
      </c>
      <c r="C23" s="80">
        <v>-54000</v>
      </c>
      <c r="D23" s="80">
        <f t="shared" si="4"/>
        <v>7613099.96</v>
      </c>
      <c r="E23" s="80">
        <v>3940396.88</v>
      </c>
      <c r="F23" s="80">
        <v>3940396.88</v>
      </c>
      <c r="G23" s="80">
        <f t="shared" si="5"/>
        <v>3672703.08</v>
      </c>
    </row>
    <row r="24" spans="1:7" x14ac:dyDescent="0.25">
      <c r="A24" s="84" t="s">
        <v>299</v>
      </c>
      <c r="B24" s="80">
        <v>16730275.359999999</v>
      </c>
      <c r="C24" s="80">
        <v>308055.7</v>
      </c>
      <c r="D24" s="80">
        <f t="shared" si="4"/>
        <v>17038331.059999999</v>
      </c>
      <c r="E24" s="80">
        <v>6796956.7599999998</v>
      </c>
      <c r="F24" s="80">
        <v>6628680.3200000003</v>
      </c>
      <c r="G24" s="80">
        <f t="shared" si="5"/>
        <v>10241374.299999999</v>
      </c>
    </row>
    <row r="25" spans="1:7" x14ac:dyDescent="0.25">
      <c r="A25" s="84" t="s">
        <v>300</v>
      </c>
      <c r="B25" s="80">
        <v>2535509.15</v>
      </c>
      <c r="C25" s="80">
        <v>-140642.23000000001</v>
      </c>
      <c r="D25" s="80">
        <f t="shared" si="4"/>
        <v>2394866.92</v>
      </c>
      <c r="E25" s="80">
        <v>1472874.46</v>
      </c>
      <c r="F25" s="80">
        <v>1472874.46</v>
      </c>
      <c r="G25" s="80">
        <f t="shared" si="5"/>
        <v>921992.46</v>
      </c>
    </row>
    <row r="26" spans="1:7" x14ac:dyDescent="0.25">
      <c r="A26" s="84" t="s">
        <v>301</v>
      </c>
      <c r="B26" s="80">
        <v>335000</v>
      </c>
      <c r="C26" s="80">
        <v>0</v>
      </c>
      <c r="D26" s="80">
        <f t="shared" si="4"/>
        <v>335000</v>
      </c>
      <c r="E26" s="80">
        <v>0</v>
      </c>
      <c r="F26" s="80">
        <v>0</v>
      </c>
      <c r="G26" s="80">
        <f t="shared" si="5"/>
        <v>335000</v>
      </c>
    </row>
    <row r="27" spans="1:7" x14ac:dyDescent="0.25">
      <c r="A27" s="84" t="s">
        <v>302</v>
      </c>
      <c r="B27" s="80">
        <v>1282856.1100000001</v>
      </c>
      <c r="C27" s="80">
        <v>134546.68</v>
      </c>
      <c r="D27" s="80">
        <f t="shared" si="4"/>
        <v>1417402.79</v>
      </c>
      <c r="E27" s="80">
        <v>380278</v>
      </c>
      <c r="F27" s="80">
        <v>380078</v>
      </c>
      <c r="G27" s="80">
        <f t="shared" si="5"/>
        <v>1037124.79</v>
      </c>
    </row>
    <row r="28" spans="1:7" x14ac:dyDescent="0.25">
      <c r="A28" s="83" t="s">
        <v>303</v>
      </c>
      <c r="B28" s="80">
        <f>SUM(B29:B37)</f>
        <v>168614845.47000003</v>
      </c>
      <c r="C28" s="80">
        <f t="shared" ref="C28:G28" si="6">SUM(C29:C37)</f>
        <v>32945041.850000001</v>
      </c>
      <c r="D28" s="80">
        <f t="shared" si="6"/>
        <v>201559887.31999999</v>
      </c>
      <c r="E28" s="80">
        <f t="shared" si="6"/>
        <v>81298882.650000006</v>
      </c>
      <c r="F28" s="80">
        <f t="shared" si="6"/>
        <v>81123203.620000005</v>
      </c>
      <c r="G28" s="80">
        <f t="shared" si="6"/>
        <v>120261004.66999999</v>
      </c>
    </row>
    <row r="29" spans="1:7" x14ac:dyDescent="0.25">
      <c r="A29" s="84" t="s">
        <v>304</v>
      </c>
      <c r="B29" s="80">
        <v>30223400</v>
      </c>
      <c r="C29" s="80">
        <v>-572461.76</v>
      </c>
      <c r="D29" s="80">
        <v>29650938.239999998</v>
      </c>
      <c r="E29" s="80">
        <v>6442032.2300000004</v>
      </c>
      <c r="F29" s="80">
        <v>6432952.2300000004</v>
      </c>
      <c r="G29" s="80">
        <f>D29-E29</f>
        <v>23208906.009999998</v>
      </c>
    </row>
    <row r="30" spans="1:7" x14ac:dyDescent="0.25">
      <c r="A30" s="84" t="s">
        <v>305</v>
      </c>
      <c r="B30" s="80">
        <v>8827521.2899999991</v>
      </c>
      <c r="C30" s="80">
        <v>-95999.99</v>
      </c>
      <c r="D30" s="80">
        <v>8731521.2999999989</v>
      </c>
      <c r="E30" s="80">
        <v>4736261.26</v>
      </c>
      <c r="F30" s="80">
        <v>4736261.26</v>
      </c>
      <c r="G30" s="80">
        <f t="shared" ref="G30:G37" si="7">D30-E30</f>
        <v>3995260.0399999991</v>
      </c>
    </row>
    <row r="31" spans="1:7" x14ac:dyDescent="0.25">
      <c r="A31" s="84" t="s">
        <v>306</v>
      </c>
      <c r="B31" s="80">
        <v>55859042.609999999</v>
      </c>
      <c r="C31" s="80">
        <v>10012314.24</v>
      </c>
      <c r="D31" s="80">
        <v>65871356.850000001</v>
      </c>
      <c r="E31" s="80">
        <v>30963427.800000001</v>
      </c>
      <c r="F31" s="80">
        <v>30962685.399999999</v>
      </c>
      <c r="G31" s="80">
        <f t="shared" si="7"/>
        <v>34907929.049999997</v>
      </c>
    </row>
    <row r="32" spans="1:7" x14ac:dyDescent="0.25">
      <c r="A32" s="84" t="s">
        <v>307</v>
      </c>
      <c r="B32" s="80">
        <v>4123300</v>
      </c>
      <c r="C32" s="80">
        <v>1559300</v>
      </c>
      <c r="D32" s="80">
        <v>5682600</v>
      </c>
      <c r="E32" s="80">
        <v>2227588.2000000002</v>
      </c>
      <c r="F32" s="80">
        <v>2227588.2000000002</v>
      </c>
      <c r="G32" s="80">
        <f t="shared" si="7"/>
        <v>3455011.8</v>
      </c>
    </row>
    <row r="33" spans="1:7" x14ac:dyDescent="0.25">
      <c r="A33" s="84" t="s">
        <v>308</v>
      </c>
      <c r="B33" s="80">
        <v>36480414.950000003</v>
      </c>
      <c r="C33" s="80">
        <v>15276372.24</v>
      </c>
      <c r="D33" s="80">
        <v>51756787.190000005</v>
      </c>
      <c r="E33" s="80">
        <v>25399125.379999999</v>
      </c>
      <c r="F33" s="80">
        <v>25280341.32</v>
      </c>
      <c r="G33" s="80">
        <f t="shared" si="7"/>
        <v>26357661.810000006</v>
      </c>
    </row>
    <row r="34" spans="1:7" x14ac:dyDescent="0.25">
      <c r="A34" s="84" t="s">
        <v>309</v>
      </c>
      <c r="B34" s="80">
        <v>6000055.3300000001</v>
      </c>
      <c r="C34" s="80">
        <v>359113.48</v>
      </c>
      <c r="D34" s="80">
        <v>6359168.8100000005</v>
      </c>
      <c r="E34" s="80">
        <v>1360966.97</v>
      </c>
      <c r="F34" s="80">
        <v>1360966.97</v>
      </c>
      <c r="G34" s="80">
        <f t="shared" si="7"/>
        <v>4998201.8400000008</v>
      </c>
    </row>
    <row r="35" spans="1:7" x14ac:dyDescent="0.25">
      <c r="A35" s="84" t="s">
        <v>310</v>
      </c>
      <c r="B35" s="80">
        <v>2576749.92</v>
      </c>
      <c r="C35" s="80">
        <v>-15350</v>
      </c>
      <c r="D35" s="80">
        <v>2561399.92</v>
      </c>
      <c r="E35" s="80">
        <v>512696.9</v>
      </c>
      <c r="F35" s="80">
        <v>512696.9</v>
      </c>
      <c r="G35" s="80">
        <f t="shared" si="7"/>
        <v>2048703.02</v>
      </c>
    </row>
    <row r="36" spans="1:7" x14ac:dyDescent="0.25">
      <c r="A36" s="84" t="s">
        <v>311</v>
      </c>
      <c r="B36" s="80">
        <v>20668649.260000002</v>
      </c>
      <c r="C36" s="80">
        <v>5802231.6399999997</v>
      </c>
      <c r="D36" s="80">
        <v>26470880.900000002</v>
      </c>
      <c r="E36" s="80">
        <v>7270112.5700000003</v>
      </c>
      <c r="F36" s="80">
        <v>7223040</v>
      </c>
      <c r="G36" s="80">
        <f t="shared" si="7"/>
        <v>19200768.330000002</v>
      </c>
    </row>
    <row r="37" spans="1:7" x14ac:dyDescent="0.25">
      <c r="A37" s="84" t="s">
        <v>312</v>
      </c>
      <c r="B37" s="80">
        <v>3855712.11</v>
      </c>
      <c r="C37" s="80">
        <v>619522</v>
      </c>
      <c r="D37" s="80">
        <v>4475234.1099999994</v>
      </c>
      <c r="E37" s="80">
        <v>2386671.34</v>
      </c>
      <c r="F37" s="80">
        <v>2386671.34</v>
      </c>
      <c r="G37" s="80">
        <f t="shared" si="7"/>
        <v>2088562.7699999996</v>
      </c>
    </row>
    <row r="38" spans="1:7" x14ac:dyDescent="0.25">
      <c r="A38" s="83" t="s">
        <v>313</v>
      </c>
      <c r="B38" s="80">
        <f>SUM(B39:B47)</f>
        <v>119795201.65000001</v>
      </c>
      <c r="C38" s="80">
        <f t="shared" ref="C38:G38" si="8">SUM(C39:C47)</f>
        <v>9504098.0499999989</v>
      </c>
      <c r="D38" s="80">
        <f t="shared" si="8"/>
        <v>129299299.7</v>
      </c>
      <c r="E38" s="80">
        <f t="shared" si="8"/>
        <v>60458550.080000006</v>
      </c>
      <c r="F38" s="80">
        <f t="shared" si="8"/>
        <v>60450699.200000003</v>
      </c>
      <c r="G38" s="80">
        <f t="shared" si="8"/>
        <v>68840749.61999999</v>
      </c>
    </row>
    <row r="39" spans="1:7" x14ac:dyDescent="0.25">
      <c r="A39" s="84" t="s">
        <v>314</v>
      </c>
      <c r="B39" s="80">
        <v>45984308.649999999</v>
      </c>
      <c r="C39" s="80">
        <v>1200000</v>
      </c>
      <c r="D39" s="80">
        <v>47184308.649999999</v>
      </c>
      <c r="E39" s="80">
        <v>26114810.870000001</v>
      </c>
      <c r="F39" s="80">
        <v>26114810.870000001</v>
      </c>
      <c r="G39" s="80">
        <f>D39-E39</f>
        <v>21069497.779999997</v>
      </c>
    </row>
    <row r="40" spans="1:7" x14ac:dyDescent="0.25">
      <c r="A40" s="84" t="s">
        <v>315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9">D40-E40</f>
        <v>0</v>
      </c>
    </row>
    <row r="41" spans="1:7" x14ac:dyDescent="0.25">
      <c r="A41" s="84" t="s">
        <v>316</v>
      </c>
      <c r="B41" s="80">
        <v>1115000</v>
      </c>
      <c r="C41" s="80">
        <v>-360000</v>
      </c>
      <c r="D41" s="80">
        <v>755000</v>
      </c>
      <c r="E41" s="80">
        <v>400000</v>
      </c>
      <c r="F41" s="80">
        <v>400000</v>
      </c>
      <c r="G41" s="80">
        <f t="shared" si="9"/>
        <v>355000</v>
      </c>
    </row>
    <row r="42" spans="1:7" x14ac:dyDescent="0.25">
      <c r="A42" s="84" t="s">
        <v>317</v>
      </c>
      <c r="B42" s="80">
        <v>65766879</v>
      </c>
      <c r="C42" s="80">
        <v>8447202.0999999996</v>
      </c>
      <c r="D42" s="80">
        <v>74214081.099999994</v>
      </c>
      <c r="E42" s="80">
        <v>30470885.5</v>
      </c>
      <c r="F42" s="80">
        <v>30463034.620000001</v>
      </c>
      <c r="G42" s="80">
        <f t="shared" si="9"/>
        <v>43743195.599999994</v>
      </c>
    </row>
    <row r="43" spans="1:7" x14ac:dyDescent="0.25">
      <c r="A43" s="84" t="s">
        <v>318</v>
      </c>
      <c r="B43" s="80">
        <v>6929014</v>
      </c>
      <c r="C43" s="80">
        <v>216895.95</v>
      </c>
      <c r="D43" s="80">
        <v>7145909.9500000002</v>
      </c>
      <c r="E43" s="80">
        <v>3472853.71</v>
      </c>
      <c r="F43" s="80">
        <v>3472853.71</v>
      </c>
      <c r="G43" s="80">
        <f t="shared" si="9"/>
        <v>3673056.24</v>
      </c>
    </row>
    <row r="44" spans="1:7" x14ac:dyDescent="0.25">
      <c r="A44" s="84" t="s">
        <v>319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9"/>
        <v>0</v>
      </c>
    </row>
    <row r="45" spans="1:7" x14ac:dyDescent="0.25">
      <c r="A45" s="84" t="s">
        <v>320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9"/>
        <v>0</v>
      </c>
    </row>
    <row r="46" spans="1:7" x14ac:dyDescent="0.25">
      <c r="A46" s="84" t="s">
        <v>321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9"/>
        <v>0</v>
      </c>
    </row>
    <row r="47" spans="1:7" x14ac:dyDescent="0.25">
      <c r="A47" s="84" t="s">
        <v>322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9"/>
        <v>0</v>
      </c>
    </row>
    <row r="48" spans="1:7" x14ac:dyDescent="0.25">
      <c r="A48" s="83" t="s">
        <v>323</v>
      </c>
      <c r="B48" s="80">
        <f>SUM(B49:B57)</f>
        <v>12200373.609999999</v>
      </c>
      <c r="C48" s="80">
        <f t="shared" ref="C48:G48" si="10">SUM(C49:C57)</f>
        <v>3097584.71</v>
      </c>
      <c r="D48" s="80">
        <f t="shared" si="10"/>
        <v>15297958.320000002</v>
      </c>
      <c r="E48" s="80">
        <f t="shared" si="10"/>
        <v>6251664.7299999995</v>
      </c>
      <c r="F48" s="80">
        <f t="shared" si="10"/>
        <v>6211065.8899999997</v>
      </c>
      <c r="G48" s="80">
        <f t="shared" si="10"/>
        <v>9046293.5900000017</v>
      </c>
    </row>
    <row r="49" spans="1:7" x14ac:dyDescent="0.25">
      <c r="A49" s="84" t="s">
        <v>324</v>
      </c>
      <c r="B49" s="80">
        <v>3575722.51</v>
      </c>
      <c r="C49" s="80">
        <v>1283231.3999999999</v>
      </c>
      <c r="D49" s="80">
        <v>4858953.91</v>
      </c>
      <c r="E49" s="80">
        <v>1180783.3899999999</v>
      </c>
      <c r="F49" s="80">
        <v>1140184.55</v>
      </c>
      <c r="G49" s="80">
        <f>D49-E49</f>
        <v>3678170.5200000005</v>
      </c>
    </row>
    <row r="50" spans="1:7" x14ac:dyDescent="0.25">
      <c r="A50" s="84" t="s">
        <v>325</v>
      </c>
      <c r="B50" s="80">
        <v>463950</v>
      </c>
      <c r="C50" s="80">
        <v>77458.98</v>
      </c>
      <c r="D50" s="80">
        <v>541408.98</v>
      </c>
      <c r="E50" s="80">
        <v>10380</v>
      </c>
      <c r="F50" s="80">
        <v>10380</v>
      </c>
      <c r="G50" s="80">
        <f t="shared" ref="G50:G57" si="11">D50-E50</f>
        <v>531028.98</v>
      </c>
    </row>
    <row r="51" spans="1:7" x14ac:dyDescent="0.25">
      <c r="A51" s="84" t="s">
        <v>326</v>
      </c>
      <c r="B51" s="80">
        <v>71000</v>
      </c>
      <c r="C51" s="80">
        <v>0</v>
      </c>
      <c r="D51" s="80">
        <v>71000</v>
      </c>
      <c r="E51" s="80">
        <v>0</v>
      </c>
      <c r="F51" s="80">
        <v>0</v>
      </c>
      <c r="G51" s="80">
        <f t="shared" si="11"/>
        <v>71000</v>
      </c>
    </row>
    <row r="52" spans="1:7" x14ac:dyDescent="0.25">
      <c r="A52" s="84" t="s">
        <v>327</v>
      </c>
      <c r="B52" s="80">
        <v>5924999.96</v>
      </c>
      <c r="C52" s="80">
        <v>376445</v>
      </c>
      <c r="D52" s="80">
        <v>6301444.96</v>
      </c>
      <c r="E52" s="80">
        <v>4908558.96</v>
      </c>
      <c r="F52" s="80">
        <v>4908558.96</v>
      </c>
      <c r="G52" s="80">
        <f t="shared" si="11"/>
        <v>1392886</v>
      </c>
    </row>
    <row r="53" spans="1:7" x14ac:dyDescent="0.25">
      <c r="A53" s="84" t="s">
        <v>328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1"/>
        <v>0</v>
      </c>
    </row>
    <row r="54" spans="1:7" x14ac:dyDescent="0.25">
      <c r="A54" s="84" t="s">
        <v>329</v>
      </c>
      <c r="B54" s="80">
        <v>2130555.08</v>
      </c>
      <c r="C54" s="80">
        <v>549349.32999999996</v>
      </c>
      <c r="D54" s="80">
        <v>2679904.41</v>
      </c>
      <c r="E54" s="80">
        <v>96842.38</v>
      </c>
      <c r="F54" s="80">
        <v>96842.38</v>
      </c>
      <c r="G54" s="80">
        <f t="shared" si="11"/>
        <v>2583062.0300000003</v>
      </c>
    </row>
    <row r="55" spans="1:7" x14ac:dyDescent="0.25">
      <c r="A55" s="84" t="s">
        <v>330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1"/>
        <v>0</v>
      </c>
    </row>
    <row r="56" spans="1:7" x14ac:dyDescent="0.25">
      <c r="A56" s="84" t="s">
        <v>331</v>
      </c>
      <c r="B56" s="80">
        <v>0</v>
      </c>
      <c r="C56" s="80">
        <v>700000</v>
      </c>
      <c r="D56" s="80">
        <v>700000</v>
      </c>
      <c r="E56" s="80">
        <v>0</v>
      </c>
      <c r="F56" s="80">
        <v>0</v>
      </c>
      <c r="G56" s="80">
        <f t="shared" si="11"/>
        <v>700000</v>
      </c>
    </row>
    <row r="57" spans="1:7" x14ac:dyDescent="0.25">
      <c r="A57" s="84" t="s">
        <v>332</v>
      </c>
      <c r="B57" s="80">
        <v>34146.06</v>
      </c>
      <c r="C57" s="80">
        <v>111100</v>
      </c>
      <c r="D57" s="80">
        <v>145246.06</v>
      </c>
      <c r="E57" s="80">
        <v>55100</v>
      </c>
      <c r="F57" s="80">
        <v>55100</v>
      </c>
      <c r="G57" s="80">
        <f t="shared" si="11"/>
        <v>90146.06</v>
      </c>
    </row>
    <row r="58" spans="1:7" x14ac:dyDescent="0.25">
      <c r="A58" s="83" t="s">
        <v>333</v>
      </c>
      <c r="B58" s="80">
        <f>SUM(B59:B61)</f>
        <v>42936191.18</v>
      </c>
      <c r="C58" s="80">
        <f t="shared" ref="C58:G58" si="12">SUM(C59:C61)</f>
        <v>55346986.950000003</v>
      </c>
      <c r="D58" s="80">
        <f t="shared" si="12"/>
        <v>98283178.13000001</v>
      </c>
      <c r="E58" s="80">
        <f t="shared" si="12"/>
        <v>2374896.7599999998</v>
      </c>
      <c r="F58" s="80">
        <f t="shared" si="12"/>
        <v>2374896.7599999998</v>
      </c>
      <c r="G58" s="80">
        <f t="shared" si="12"/>
        <v>95908281.370000005</v>
      </c>
    </row>
    <row r="59" spans="1:7" x14ac:dyDescent="0.25">
      <c r="A59" s="84" t="s">
        <v>334</v>
      </c>
      <c r="B59" s="80">
        <v>37936191.18</v>
      </c>
      <c r="C59" s="80">
        <v>48345670.25</v>
      </c>
      <c r="D59" s="80">
        <v>86281861.430000007</v>
      </c>
      <c r="E59" s="80">
        <v>996701.2</v>
      </c>
      <c r="F59" s="80">
        <v>996701.2</v>
      </c>
      <c r="G59" s="80">
        <f>D59-E59</f>
        <v>85285160.230000004</v>
      </c>
    </row>
    <row r="60" spans="1:7" x14ac:dyDescent="0.25">
      <c r="A60" s="84" t="s">
        <v>335</v>
      </c>
      <c r="B60" s="80">
        <v>5000000</v>
      </c>
      <c r="C60" s="80">
        <v>7001316.7000000002</v>
      </c>
      <c r="D60" s="80">
        <v>12001316.699999999</v>
      </c>
      <c r="E60" s="80">
        <v>1378195.56</v>
      </c>
      <c r="F60" s="80">
        <v>1378195.56</v>
      </c>
      <c r="G60" s="80">
        <f t="shared" ref="G60:G61" si="13">D60-E60</f>
        <v>10623121.139999999</v>
      </c>
    </row>
    <row r="61" spans="1:7" x14ac:dyDescent="0.25">
      <c r="A61" s="84" t="s">
        <v>336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3"/>
        <v>0</v>
      </c>
    </row>
    <row r="62" spans="1:7" x14ac:dyDescent="0.25">
      <c r="A62" s="83" t="s">
        <v>337</v>
      </c>
      <c r="B62" s="80">
        <f>SUM(B63:B67,B69:B70)</f>
        <v>25072052.84</v>
      </c>
      <c r="C62" s="80">
        <f t="shared" ref="C62:G62" si="14">SUM(C63:C67,C69:C70)</f>
        <v>90129173.010000005</v>
      </c>
      <c r="D62" s="80">
        <f t="shared" si="14"/>
        <v>115201225.85000001</v>
      </c>
      <c r="E62" s="80">
        <f t="shared" si="14"/>
        <v>0</v>
      </c>
      <c r="F62" s="80">
        <f t="shared" si="14"/>
        <v>0</v>
      </c>
      <c r="G62" s="80">
        <f t="shared" si="14"/>
        <v>115201225.85000001</v>
      </c>
    </row>
    <row r="63" spans="1:7" x14ac:dyDescent="0.25">
      <c r="A63" s="84" t="s">
        <v>338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339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5">D64-E64</f>
        <v>0</v>
      </c>
    </row>
    <row r="65" spans="1:7" x14ac:dyDescent="0.25">
      <c r="A65" s="84" t="s">
        <v>340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5"/>
        <v>0</v>
      </c>
    </row>
    <row r="66" spans="1:7" x14ac:dyDescent="0.25">
      <c r="A66" s="84" t="s">
        <v>341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5"/>
        <v>0</v>
      </c>
    </row>
    <row r="67" spans="1:7" x14ac:dyDescent="0.25">
      <c r="A67" s="84" t="s">
        <v>342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5"/>
        <v>0</v>
      </c>
    </row>
    <row r="68" spans="1:7" x14ac:dyDescent="0.25">
      <c r="A68" s="84" t="s">
        <v>3300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5"/>
        <v>0</v>
      </c>
    </row>
    <row r="69" spans="1:7" x14ac:dyDescent="0.25">
      <c r="A69" s="84" t="s">
        <v>344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5"/>
        <v>0</v>
      </c>
    </row>
    <row r="70" spans="1:7" x14ac:dyDescent="0.25">
      <c r="A70" s="84" t="s">
        <v>345</v>
      </c>
      <c r="B70" s="80">
        <v>25072052.84</v>
      </c>
      <c r="C70" s="80">
        <v>90129173.010000005</v>
      </c>
      <c r="D70" s="80">
        <v>115201225.85000001</v>
      </c>
      <c r="E70" s="80">
        <v>0</v>
      </c>
      <c r="F70" s="80">
        <v>0</v>
      </c>
      <c r="G70" s="80">
        <f t="shared" si="15"/>
        <v>115201225.85000001</v>
      </c>
    </row>
    <row r="71" spans="1:7" x14ac:dyDescent="0.25">
      <c r="A71" s="83" t="s">
        <v>346</v>
      </c>
      <c r="B71" s="80">
        <f>SUM(B72:B74)</f>
        <v>1615000</v>
      </c>
      <c r="C71" s="80">
        <f t="shared" ref="C71:G71" si="16">SUM(C72:C74)</f>
        <v>16101263.140000001</v>
      </c>
      <c r="D71" s="80">
        <f t="shared" si="16"/>
        <v>17716263.140000001</v>
      </c>
      <c r="E71" s="80">
        <f t="shared" si="16"/>
        <v>495347.58</v>
      </c>
      <c r="F71" s="80">
        <f t="shared" si="16"/>
        <v>495347.58</v>
      </c>
      <c r="G71" s="80">
        <f t="shared" si="16"/>
        <v>17220915.560000002</v>
      </c>
    </row>
    <row r="72" spans="1:7" x14ac:dyDescent="0.25">
      <c r="A72" s="84" t="s">
        <v>347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348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7">D73-E73</f>
        <v>0</v>
      </c>
    </row>
    <row r="74" spans="1:7" x14ac:dyDescent="0.25">
      <c r="A74" s="84" t="s">
        <v>349</v>
      </c>
      <c r="B74" s="80">
        <v>1615000</v>
      </c>
      <c r="C74" s="80">
        <v>16101263.140000001</v>
      </c>
      <c r="D74" s="80">
        <v>17716263.140000001</v>
      </c>
      <c r="E74" s="80">
        <v>495347.58</v>
      </c>
      <c r="F74" s="80">
        <v>495347.58</v>
      </c>
      <c r="G74" s="80">
        <f t="shared" si="17"/>
        <v>17220915.560000002</v>
      </c>
    </row>
    <row r="75" spans="1:7" x14ac:dyDescent="0.25">
      <c r="A75" s="83" t="s">
        <v>350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351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352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9">D77-E77</f>
        <v>0</v>
      </c>
    </row>
    <row r="78" spans="1:7" x14ac:dyDescent="0.25">
      <c r="A78" s="84" t="s">
        <v>353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9"/>
        <v>0</v>
      </c>
    </row>
    <row r="79" spans="1:7" x14ac:dyDescent="0.25">
      <c r="A79" s="84" t="s">
        <v>354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9"/>
        <v>0</v>
      </c>
    </row>
    <row r="80" spans="1:7" x14ac:dyDescent="0.25">
      <c r="A80" s="84" t="s">
        <v>355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9"/>
        <v>0</v>
      </c>
    </row>
    <row r="81" spans="1:7" x14ac:dyDescent="0.25">
      <c r="A81" s="84" t="s">
        <v>356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9"/>
        <v>0</v>
      </c>
    </row>
    <row r="82" spans="1:7" x14ac:dyDescent="0.25">
      <c r="A82" s="84" t="s">
        <v>357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9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358</v>
      </c>
      <c r="B84" s="79">
        <f>SUM(B85,B93,B103,B113,B123,B133,B137,B146,B150)</f>
        <v>217181527</v>
      </c>
      <c r="C84" s="79">
        <f t="shared" ref="C84:G84" si="20">SUM(C85,C93,C103,C113,C123,C133,C137,C146,C150)</f>
        <v>361980365.84000003</v>
      </c>
      <c r="D84" s="79">
        <f t="shared" si="20"/>
        <v>579161892.83999991</v>
      </c>
      <c r="E84" s="79">
        <f t="shared" si="20"/>
        <v>165696875.86000001</v>
      </c>
      <c r="F84" s="79">
        <f t="shared" si="20"/>
        <v>165471315.75</v>
      </c>
      <c r="G84" s="79">
        <f t="shared" si="20"/>
        <v>413465016.97999996</v>
      </c>
    </row>
    <row r="85" spans="1:7" x14ac:dyDescent="0.25">
      <c r="A85" s="83" t="s">
        <v>285</v>
      </c>
      <c r="B85" s="80">
        <f>SUM(B86:B92)</f>
        <v>69234030.969999999</v>
      </c>
      <c r="C85" s="80">
        <f t="shared" ref="C85:G85" si="21">SUM(C86:C92)</f>
        <v>3427679.8499999996</v>
      </c>
      <c r="D85" s="80">
        <f t="shared" si="21"/>
        <v>72661710.819999993</v>
      </c>
      <c r="E85" s="80">
        <f t="shared" si="21"/>
        <v>29734004.550000004</v>
      </c>
      <c r="F85" s="80">
        <f t="shared" si="21"/>
        <v>29734004.550000004</v>
      </c>
      <c r="G85" s="80">
        <f t="shared" si="21"/>
        <v>42927706.270000003</v>
      </c>
    </row>
    <row r="86" spans="1:7" x14ac:dyDescent="0.25">
      <c r="A86" s="84" t="s">
        <v>286</v>
      </c>
      <c r="B86" s="80">
        <v>56046982.539999999</v>
      </c>
      <c r="C86" s="80">
        <v>2206706.54</v>
      </c>
      <c r="D86" s="80">
        <v>58253689.079999998</v>
      </c>
      <c r="E86" s="80">
        <v>25383720.280000001</v>
      </c>
      <c r="F86" s="80">
        <v>25383720.280000001</v>
      </c>
      <c r="G86" s="80">
        <f>D86-E86</f>
        <v>32869968.799999997</v>
      </c>
    </row>
    <row r="87" spans="1:7" x14ac:dyDescent="0.25">
      <c r="A87" s="84" t="s">
        <v>287</v>
      </c>
      <c r="B87" s="80"/>
      <c r="C87" s="80"/>
      <c r="D87" s="80">
        <v>0</v>
      </c>
      <c r="E87" s="80"/>
      <c r="F87" s="80"/>
      <c r="G87" s="80">
        <f t="shared" ref="G87:G92" si="22">D87-E87</f>
        <v>0</v>
      </c>
    </row>
    <row r="88" spans="1:7" x14ac:dyDescent="0.25">
      <c r="A88" s="84" t="s">
        <v>288</v>
      </c>
      <c r="B88" s="80">
        <v>7391860.4299999997</v>
      </c>
      <c r="C88" s="80">
        <v>-1986.35</v>
      </c>
      <c r="D88" s="80">
        <v>7389874.0800000001</v>
      </c>
      <c r="E88" s="80">
        <v>2835232.99</v>
      </c>
      <c r="F88" s="80">
        <v>2835232.99</v>
      </c>
      <c r="G88" s="80">
        <f t="shared" si="22"/>
        <v>4554641.09</v>
      </c>
    </row>
    <row r="89" spans="1:7" x14ac:dyDescent="0.25">
      <c r="A89" s="84" t="s">
        <v>289</v>
      </c>
      <c r="B89" s="80"/>
      <c r="C89" s="80"/>
      <c r="D89" s="80">
        <v>0</v>
      </c>
      <c r="E89" s="80"/>
      <c r="F89" s="80"/>
      <c r="G89" s="80">
        <f t="shared" si="22"/>
        <v>0</v>
      </c>
    </row>
    <row r="90" spans="1:7" x14ac:dyDescent="0.25">
      <c r="A90" s="84" t="s">
        <v>290</v>
      </c>
      <c r="B90" s="80">
        <v>5795188</v>
      </c>
      <c r="C90" s="80">
        <v>1222959.6599999999</v>
      </c>
      <c r="D90" s="80">
        <v>7018147.6600000001</v>
      </c>
      <c r="E90" s="80">
        <v>1515051.28</v>
      </c>
      <c r="F90" s="80">
        <v>1515051.28</v>
      </c>
      <c r="G90" s="80">
        <f t="shared" si="22"/>
        <v>5503096.3799999999</v>
      </c>
    </row>
    <row r="91" spans="1:7" x14ac:dyDescent="0.25">
      <c r="A91" s="84" t="s">
        <v>291</v>
      </c>
      <c r="B91" s="80"/>
      <c r="C91" s="80"/>
      <c r="D91" s="80">
        <v>0</v>
      </c>
      <c r="E91" s="80"/>
      <c r="F91" s="80"/>
      <c r="G91" s="80">
        <f t="shared" si="22"/>
        <v>0</v>
      </c>
    </row>
    <row r="92" spans="1:7" x14ac:dyDescent="0.25">
      <c r="A92" s="84" t="s">
        <v>292</v>
      </c>
      <c r="B92" s="80"/>
      <c r="C92" s="80"/>
      <c r="D92" s="80">
        <v>0</v>
      </c>
      <c r="E92" s="80"/>
      <c r="F92" s="80"/>
      <c r="G92" s="80">
        <f t="shared" si="22"/>
        <v>0</v>
      </c>
    </row>
    <row r="93" spans="1:7" x14ac:dyDescent="0.25">
      <c r="A93" s="83" t="s">
        <v>293</v>
      </c>
      <c r="B93" s="80">
        <f>SUM(B94:B102)</f>
        <v>6165000.04</v>
      </c>
      <c r="C93" s="80">
        <f t="shared" ref="C93:G93" si="23">SUM(C94:C102)</f>
        <v>3365241.45</v>
      </c>
      <c r="D93" s="80">
        <f t="shared" si="23"/>
        <v>9530241.4900000021</v>
      </c>
      <c r="E93" s="80">
        <f t="shared" si="23"/>
        <v>3101743.76</v>
      </c>
      <c r="F93" s="80">
        <f t="shared" si="23"/>
        <v>3088550.8499999996</v>
      </c>
      <c r="G93" s="80">
        <f t="shared" si="23"/>
        <v>6428497.7299999995</v>
      </c>
    </row>
    <row r="94" spans="1:7" x14ac:dyDescent="0.25">
      <c r="A94" s="84" t="s">
        <v>294</v>
      </c>
      <c r="B94" s="80">
        <v>0</v>
      </c>
      <c r="C94" s="80">
        <v>442913.8</v>
      </c>
      <c r="D94" s="80">
        <v>442913.8</v>
      </c>
      <c r="E94" s="80">
        <v>0</v>
      </c>
      <c r="F94" s="80">
        <v>0</v>
      </c>
      <c r="G94" s="80">
        <f>D94-E94</f>
        <v>442913.8</v>
      </c>
    </row>
    <row r="95" spans="1:7" x14ac:dyDescent="0.25">
      <c r="A95" s="84" t="s">
        <v>295</v>
      </c>
      <c r="B95" s="80">
        <v>665000.04</v>
      </c>
      <c r="C95" s="80">
        <v>0</v>
      </c>
      <c r="D95" s="80">
        <v>665000.04</v>
      </c>
      <c r="E95" s="80">
        <v>299800.99</v>
      </c>
      <c r="F95" s="80">
        <v>299800.99</v>
      </c>
      <c r="G95" s="80">
        <f t="shared" ref="G95:G102" si="24">D95-E95</f>
        <v>365199.05000000005</v>
      </c>
    </row>
    <row r="96" spans="1:7" x14ac:dyDescent="0.25">
      <c r="A96" s="84" t="s">
        <v>296</v>
      </c>
      <c r="B96" s="80"/>
      <c r="C96" s="80"/>
      <c r="D96" s="80">
        <v>0</v>
      </c>
      <c r="E96" s="80"/>
      <c r="F96" s="80"/>
      <c r="G96" s="80">
        <f t="shared" si="24"/>
        <v>0</v>
      </c>
    </row>
    <row r="97" spans="1:7" x14ac:dyDescent="0.25">
      <c r="A97" s="84" t="s">
        <v>297</v>
      </c>
      <c r="B97" s="80">
        <v>0</v>
      </c>
      <c r="C97" s="80">
        <v>6667.69</v>
      </c>
      <c r="D97" s="80">
        <v>6667.69</v>
      </c>
      <c r="E97" s="80">
        <v>0</v>
      </c>
      <c r="F97" s="80">
        <v>0</v>
      </c>
      <c r="G97" s="80">
        <f t="shared" si="24"/>
        <v>6667.69</v>
      </c>
    </row>
    <row r="98" spans="1:7" x14ac:dyDescent="0.25">
      <c r="A98" s="42" t="s">
        <v>298</v>
      </c>
      <c r="B98" s="80"/>
      <c r="C98" s="80"/>
      <c r="D98" s="80">
        <v>0</v>
      </c>
      <c r="E98" s="80"/>
      <c r="F98" s="80"/>
      <c r="G98" s="80">
        <f t="shared" si="24"/>
        <v>0</v>
      </c>
    </row>
    <row r="99" spans="1:7" x14ac:dyDescent="0.25">
      <c r="A99" s="84" t="s">
        <v>299</v>
      </c>
      <c r="B99" s="80">
        <v>5500000</v>
      </c>
      <c r="C99" s="80">
        <v>0</v>
      </c>
      <c r="D99" s="80">
        <v>5500000</v>
      </c>
      <c r="E99" s="80">
        <v>2801942.77</v>
      </c>
      <c r="F99" s="80">
        <v>2788749.86</v>
      </c>
      <c r="G99" s="80">
        <f t="shared" si="24"/>
        <v>2698057.23</v>
      </c>
    </row>
    <row r="100" spans="1:7" x14ac:dyDescent="0.25">
      <c r="A100" s="84" t="s">
        <v>300</v>
      </c>
      <c r="B100" s="80">
        <v>0</v>
      </c>
      <c r="C100" s="80">
        <v>2018860</v>
      </c>
      <c r="D100" s="80">
        <v>2018860</v>
      </c>
      <c r="E100" s="80">
        <v>0</v>
      </c>
      <c r="F100" s="80">
        <v>0</v>
      </c>
      <c r="G100" s="80">
        <f t="shared" si="24"/>
        <v>2018860</v>
      </c>
    </row>
    <row r="101" spans="1:7" x14ac:dyDescent="0.25">
      <c r="A101" s="84" t="s">
        <v>301</v>
      </c>
      <c r="B101" s="80">
        <v>0</v>
      </c>
      <c r="C101" s="80">
        <v>896000</v>
      </c>
      <c r="D101" s="80">
        <v>896000</v>
      </c>
      <c r="E101" s="80">
        <v>0</v>
      </c>
      <c r="F101" s="80">
        <v>0</v>
      </c>
      <c r="G101" s="80">
        <f t="shared" si="24"/>
        <v>896000</v>
      </c>
    </row>
    <row r="102" spans="1:7" x14ac:dyDescent="0.25">
      <c r="A102" s="84" t="s">
        <v>302</v>
      </c>
      <c r="B102" s="80">
        <v>0</v>
      </c>
      <c r="C102" s="80">
        <v>799.96</v>
      </c>
      <c r="D102" s="80">
        <v>799.96</v>
      </c>
      <c r="E102" s="80">
        <v>0</v>
      </c>
      <c r="F102" s="80">
        <v>0</v>
      </c>
      <c r="G102" s="80">
        <f t="shared" si="24"/>
        <v>799.96</v>
      </c>
    </row>
    <row r="103" spans="1:7" x14ac:dyDescent="0.25">
      <c r="A103" s="83" t="s">
        <v>303</v>
      </c>
      <c r="B103" s="80">
        <f>SUM(B104:B112)</f>
        <v>3493836</v>
      </c>
      <c r="C103" s="80">
        <f>SUM(C104:C112)</f>
        <v>25921512.099999998</v>
      </c>
      <c r="D103" s="80">
        <f t="shared" ref="D103:G103" si="25">SUM(D104:D112)</f>
        <v>29415348.099999998</v>
      </c>
      <c r="E103" s="80">
        <f t="shared" si="25"/>
        <v>4737845.13</v>
      </c>
      <c r="F103" s="80">
        <f t="shared" si="25"/>
        <v>4654271.09</v>
      </c>
      <c r="G103" s="80">
        <f t="shared" si="25"/>
        <v>24677502.970000003</v>
      </c>
    </row>
    <row r="104" spans="1:7" x14ac:dyDescent="0.25">
      <c r="A104" s="84" t="s">
        <v>304</v>
      </c>
      <c r="B104" s="80">
        <v>0</v>
      </c>
      <c r="C104" s="80">
        <v>2558025.61</v>
      </c>
      <c r="D104" s="80">
        <v>2558025.61</v>
      </c>
      <c r="E104" s="80">
        <v>2558025.61</v>
      </c>
      <c r="F104" s="80">
        <v>2558025.61</v>
      </c>
      <c r="G104" s="80">
        <f>D104-E104</f>
        <v>0</v>
      </c>
    </row>
    <row r="105" spans="1:7" x14ac:dyDescent="0.25">
      <c r="A105" s="84" t="s">
        <v>305</v>
      </c>
      <c r="B105" s="80"/>
      <c r="C105" s="80"/>
      <c r="D105" s="80">
        <v>0</v>
      </c>
      <c r="E105" s="80"/>
      <c r="F105" s="80"/>
      <c r="G105" s="80">
        <f t="shared" ref="G105:G112" si="26">D105-E105</f>
        <v>0</v>
      </c>
    </row>
    <row r="106" spans="1:7" x14ac:dyDescent="0.25">
      <c r="A106" s="84" t="s">
        <v>306</v>
      </c>
      <c r="B106" s="80">
        <v>0</v>
      </c>
      <c r="C106" s="80">
        <v>9187912.6899999995</v>
      </c>
      <c r="D106" s="80">
        <v>9187912.6899999995</v>
      </c>
      <c r="E106" s="80">
        <v>0</v>
      </c>
      <c r="F106" s="80">
        <v>0</v>
      </c>
      <c r="G106" s="80">
        <f t="shared" si="26"/>
        <v>9187912.6899999995</v>
      </c>
    </row>
    <row r="107" spans="1:7" x14ac:dyDescent="0.25">
      <c r="A107" s="84" t="s">
        <v>307</v>
      </c>
      <c r="B107" s="80"/>
      <c r="C107" s="80"/>
      <c r="D107" s="80">
        <v>0</v>
      </c>
      <c r="E107" s="80"/>
      <c r="F107" s="80"/>
      <c r="G107" s="80">
        <f t="shared" si="26"/>
        <v>0</v>
      </c>
    </row>
    <row r="108" spans="1:7" x14ac:dyDescent="0.25">
      <c r="A108" s="84" t="s">
        <v>308</v>
      </c>
      <c r="B108" s="80">
        <v>3493836</v>
      </c>
      <c r="C108" s="80">
        <v>12527299.5</v>
      </c>
      <c r="D108" s="80">
        <v>16021135.5</v>
      </c>
      <c r="E108" s="80">
        <v>2179819.52</v>
      </c>
      <c r="F108" s="80">
        <v>2096245.48</v>
      </c>
      <c r="G108" s="80">
        <f t="shared" si="26"/>
        <v>13841315.98</v>
      </c>
    </row>
    <row r="109" spans="1:7" x14ac:dyDescent="0.25">
      <c r="A109" s="84" t="s">
        <v>309</v>
      </c>
      <c r="B109" s="80">
        <v>0</v>
      </c>
      <c r="C109" s="80">
        <v>1382168.51</v>
      </c>
      <c r="D109" s="80">
        <v>1382168.51</v>
      </c>
      <c r="E109" s="80">
        <v>0</v>
      </c>
      <c r="F109" s="80">
        <v>0</v>
      </c>
      <c r="G109" s="80">
        <f t="shared" si="26"/>
        <v>1382168.51</v>
      </c>
    </row>
    <row r="110" spans="1:7" x14ac:dyDescent="0.25">
      <c r="A110" s="84" t="s">
        <v>310</v>
      </c>
      <c r="B110" s="80">
        <v>0</v>
      </c>
      <c r="C110" s="80">
        <v>60000</v>
      </c>
      <c r="D110" s="80">
        <v>60000</v>
      </c>
      <c r="E110" s="80">
        <v>0</v>
      </c>
      <c r="F110" s="80">
        <v>0</v>
      </c>
      <c r="G110" s="80">
        <f t="shared" si="26"/>
        <v>60000</v>
      </c>
    </row>
    <row r="111" spans="1:7" x14ac:dyDescent="0.25">
      <c r="A111" s="84" t="s">
        <v>311</v>
      </c>
      <c r="B111" s="80"/>
      <c r="C111" s="80"/>
      <c r="D111" s="80">
        <v>0</v>
      </c>
      <c r="E111" s="80"/>
      <c r="F111" s="80"/>
      <c r="G111" s="80">
        <f t="shared" si="26"/>
        <v>0</v>
      </c>
    </row>
    <row r="112" spans="1:7" x14ac:dyDescent="0.25">
      <c r="A112" s="84" t="s">
        <v>312</v>
      </c>
      <c r="B112" s="80">
        <v>0</v>
      </c>
      <c r="C112" s="80">
        <v>206105.79</v>
      </c>
      <c r="D112" s="80">
        <v>206105.79</v>
      </c>
      <c r="E112" s="80">
        <v>0</v>
      </c>
      <c r="F112" s="80">
        <v>0</v>
      </c>
      <c r="G112" s="80">
        <f t="shared" si="26"/>
        <v>206105.79</v>
      </c>
    </row>
    <row r="113" spans="1:7" x14ac:dyDescent="0.25">
      <c r="A113" s="83" t="s">
        <v>313</v>
      </c>
      <c r="B113" s="80">
        <f>SUM(B114:B122)</f>
        <v>0</v>
      </c>
      <c r="C113" s="80">
        <f t="shared" ref="C113:G113" si="27">SUM(C114:C122)</f>
        <v>79405357.25</v>
      </c>
      <c r="D113" s="80">
        <f t="shared" si="27"/>
        <v>79405357.25</v>
      </c>
      <c r="E113" s="80">
        <f t="shared" si="27"/>
        <v>16919308.530000001</v>
      </c>
      <c r="F113" s="80">
        <f t="shared" si="27"/>
        <v>16919308.530000001</v>
      </c>
      <c r="G113" s="80">
        <f t="shared" si="27"/>
        <v>62486048.719999999</v>
      </c>
    </row>
    <row r="114" spans="1:7" x14ac:dyDescent="0.25">
      <c r="A114" s="84" t="s">
        <v>314</v>
      </c>
      <c r="B114" s="80"/>
      <c r="C114" s="80"/>
      <c r="D114" s="80">
        <v>0</v>
      </c>
      <c r="E114" s="80"/>
      <c r="F114" s="80"/>
      <c r="G114" s="80">
        <f>D114-E114</f>
        <v>0</v>
      </c>
    </row>
    <row r="115" spans="1:7" x14ac:dyDescent="0.25">
      <c r="A115" s="84" t="s">
        <v>315</v>
      </c>
      <c r="B115" s="80"/>
      <c r="C115" s="80"/>
      <c r="D115" s="80">
        <v>0</v>
      </c>
      <c r="E115" s="80"/>
      <c r="F115" s="80"/>
      <c r="G115" s="80">
        <f t="shared" ref="G115:G122" si="28">D115-E115</f>
        <v>0</v>
      </c>
    </row>
    <row r="116" spans="1:7" x14ac:dyDescent="0.25">
      <c r="A116" s="84" t="s">
        <v>316</v>
      </c>
      <c r="B116" s="80"/>
      <c r="C116" s="80"/>
      <c r="D116" s="80">
        <v>0</v>
      </c>
      <c r="E116" s="80"/>
      <c r="F116" s="80"/>
      <c r="G116" s="80">
        <f t="shared" si="28"/>
        <v>0</v>
      </c>
    </row>
    <row r="117" spans="1:7" x14ac:dyDescent="0.25">
      <c r="A117" s="84" t="s">
        <v>317</v>
      </c>
      <c r="B117" s="80">
        <v>0</v>
      </c>
      <c r="C117" s="80">
        <v>79405357.25</v>
      </c>
      <c r="D117" s="80">
        <v>79405357.25</v>
      </c>
      <c r="E117" s="80">
        <v>16919308.530000001</v>
      </c>
      <c r="F117" s="80">
        <v>16919308.530000001</v>
      </c>
      <c r="G117" s="80">
        <f t="shared" si="28"/>
        <v>62486048.719999999</v>
      </c>
    </row>
    <row r="118" spans="1:7" x14ac:dyDescent="0.25">
      <c r="A118" s="84" t="s">
        <v>318</v>
      </c>
      <c r="B118" s="80"/>
      <c r="C118" s="80"/>
      <c r="D118" s="80">
        <v>0</v>
      </c>
      <c r="E118" s="80"/>
      <c r="F118" s="80"/>
      <c r="G118" s="80">
        <f t="shared" si="28"/>
        <v>0</v>
      </c>
    </row>
    <row r="119" spans="1:7" x14ac:dyDescent="0.25">
      <c r="A119" s="84" t="s">
        <v>319</v>
      </c>
      <c r="B119" s="80"/>
      <c r="C119" s="80"/>
      <c r="D119" s="80">
        <v>0</v>
      </c>
      <c r="E119" s="80"/>
      <c r="F119" s="80"/>
      <c r="G119" s="80">
        <f t="shared" si="28"/>
        <v>0</v>
      </c>
    </row>
    <row r="120" spans="1:7" x14ac:dyDescent="0.25">
      <c r="A120" s="84" t="s">
        <v>320</v>
      </c>
      <c r="B120" s="80"/>
      <c r="C120" s="80"/>
      <c r="D120" s="80">
        <v>0</v>
      </c>
      <c r="E120" s="80"/>
      <c r="F120" s="80"/>
      <c r="G120" s="80">
        <f t="shared" si="28"/>
        <v>0</v>
      </c>
    </row>
    <row r="121" spans="1:7" x14ac:dyDescent="0.25">
      <c r="A121" s="84" t="s">
        <v>321</v>
      </c>
      <c r="B121" s="80"/>
      <c r="C121" s="80"/>
      <c r="D121" s="80">
        <v>0</v>
      </c>
      <c r="E121" s="80"/>
      <c r="F121" s="80"/>
      <c r="G121" s="80">
        <f t="shared" si="28"/>
        <v>0</v>
      </c>
    </row>
    <row r="122" spans="1:7" x14ac:dyDescent="0.25">
      <c r="A122" s="84" t="s">
        <v>322</v>
      </c>
      <c r="B122" s="80"/>
      <c r="C122" s="80"/>
      <c r="D122" s="80">
        <v>0</v>
      </c>
      <c r="E122" s="80"/>
      <c r="F122" s="80"/>
      <c r="G122" s="80">
        <f t="shared" si="28"/>
        <v>0</v>
      </c>
    </row>
    <row r="123" spans="1:7" x14ac:dyDescent="0.25">
      <c r="A123" s="83" t="s">
        <v>323</v>
      </c>
      <c r="B123" s="80">
        <f>SUM(B124:B132)</f>
        <v>0</v>
      </c>
      <c r="C123" s="80">
        <f t="shared" ref="C123:G123" si="29">SUM(C124:C132)</f>
        <v>3112200.01</v>
      </c>
      <c r="D123" s="80">
        <f t="shared" si="29"/>
        <v>3112200.01</v>
      </c>
      <c r="E123" s="80">
        <f t="shared" si="29"/>
        <v>0</v>
      </c>
      <c r="F123" s="80">
        <f t="shared" si="29"/>
        <v>0</v>
      </c>
      <c r="G123" s="80">
        <f t="shared" si="29"/>
        <v>3112200.01</v>
      </c>
    </row>
    <row r="124" spans="1:7" x14ac:dyDescent="0.25">
      <c r="A124" s="84" t="s">
        <v>324</v>
      </c>
      <c r="B124" s="80">
        <v>0</v>
      </c>
      <c r="C124" s="80">
        <v>2227200</v>
      </c>
      <c r="D124" s="80">
        <v>2227200</v>
      </c>
      <c r="E124" s="80">
        <v>0</v>
      </c>
      <c r="F124" s="80">
        <v>0</v>
      </c>
      <c r="G124" s="80">
        <f>D124-E124</f>
        <v>2227200</v>
      </c>
    </row>
    <row r="125" spans="1:7" x14ac:dyDescent="0.25">
      <c r="A125" s="84" t="s">
        <v>325</v>
      </c>
      <c r="B125" s="80">
        <v>0</v>
      </c>
      <c r="C125" s="80">
        <v>0.01</v>
      </c>
      <c r="D125" s="80">
        <v>0.01</v>
      </c>
      <c r="E125" s="80">
        <v>0</v>
      </c>
      <c r="F125" s="80">
        <v>0</v>
      </c>
      <c r="G125" s="80">
        <f t="shared" ref="G125:G132" si="30">D125-E125</f>
        <v>0.01</v>
      </c>
    </row>
    <row r="126" spans="1:7" x14ac:dyDescent="0.25">
      <c r="A126" s="84" t="s">
        <v>326</v>
      </c>
      <c r="B126" s="80"/>
      <c r="C126" s="80"/>
      <c r="D126" s="80">
        <v>0</v>
      </c>
      <c r="E126" s="80"/>
      <c r="F126" s="80"/>
      <c r="G126" s="80">
        <f t="shared" si="30"/>
        <v>0</v>
      </c>
    </row>
    <row r="127" spans="1:7" x14ac:dyDescent="0.25">
      <c r="A127" s="84" t="s">
        <v>327</v>
      </c>
      <c r="B127" s="80"/>
      <c r="C127" s="80"/>
      <c r="D127" s="80">
        <v>0</v>
      </c>
      <c r="E127" s="80"/>
      <c r="F127" s="80"/>
      <c r="G127" s="80">
        <f t="shared" si="30"/>
        <v>0</v>
      </c>
    </row>
    <row r="128" spans="1:7" x14ac:dyDescent="0.25">
      <c r="A128" s="84" t="s">
        <v>328</v>
      </c>
      <c r="B128" s="80">
        <v>0</v>
      </c>
      <c r="C128" s="80">
        <v>885000</v>
      </c>
      <c r="D128" s="80">
        <v>885000</v>
      </c>
      <c r="E128" s="80">
        <v>0</v>
      </c>
      <c r="F128" s="80">
        <v>0</v>
      </c>
      <c r="G128" s="80">
        <f t="shared" si="30"/>
        <v>885000</v>
      </c>
    </row>
    <row r="129" spans="1:7" x14ac:dyDescent="0.25">
      <c r="A129" s="84" t="s">
        <v>329</v>
      </c>
      <c r="B129" s="80"/>
      <c r="C129" s="80"/>
      <c r="D129" s="80">
        <v>0</v>
      </c>
      <c r="E129" s="80"/>
      <c r="F129" s="80"/>
      <c r="G129" s="80">
        <f t="shared" si="30"/>
        <v>0</v>
      </c>
    </row>
    <row r="130" spans="1:7" x14ac:dyDescent="0.25">
      <c r="A130" s="84" t="s">
        <v>330</v>
      </c>
      <c r="B130" s="80"/>
      <c r="C130" s="80"/>
      <c r="D130" s="80">
        <v>0</v>
      </c>
      <c r="E130" s="80"/>
      <c r="F130" s="80"/>
      <c r="G130" s="80">
        <f t="shared" si="30"/>
        <v>0</v>
      </c>
    </row>
    <row r="131" spans="1:7" x14ac:dyDescent="0.25">
      <c r="A131" s="84" t="s">
        <v>331</v>
      </c>
      <c r="B131" s="80"/>
      <c r="C131" s="80"/>
      <c r="D131" s="80">
        <v>0</v>
      </c>
      <c r="E131" s="80"/>
      <c r="F131" s="80"/>
      <c r="G131" s="80">
        <f t="shared" si="30"/>
        <v>0</v>
      </c>
    </row>
    <row r="132" spans="1:7" x14ac:dyDescent="0.25">
      <c r="A132" s="84" t="s">
        <v>332</v>
      </c>
      <c r="B132" s="80"/>
      <c r="C132" s="80"/>
      <c r="D132" s="80">
        <v>0</v>
      </c>
      <c r="E132" s="80"/>
      <c r="F132" s="80"/>
      <c r="G132" s="80">
        <f t="shared" si="30"/>
        <v>0</v>
      </c>
    </row>
    <row r="133" spans="1:7" x14ac:dyDescent="0.25">
      <c r="A133" s="83" t="s">
        <v>333</v>
      </c>
      <c r="B133" s="80">
        <f>SUM(B134:B136)</f>
        <v>125523578.11</v>
      </c>
      <c r="C133" s="80">
        <f t="shared" ref="C133:G133" si="31">SUM(C134:C136)</f>
        <v>221465354.88</v>
      </c>
      <c r="D133" s="80">
        <f t="shared" si="31"/>
        <v>346988932.98999995</v>
      </c>
      <c r="E133" s="80">
        <f t="shared" si="31"/>
        <v>87584788.660000011</v>
      </c>
      <c r="F133" s="80">
        <f t="shared" si="31"/>
        <v>87455995.5</v>
      </c>
      <c r="G133" s="80">
        <f t="shared" si="31"/>
        <v>259404144.32999998</v>
      </c>
    </row>
    <row r="134" spans="1:7" x14ac:dyDescent="0.25">
      <c r="A134" s="84" t="s">
        <v>334</v>
      </c>
      <c r="B134" s="80">
        <v>125523578.11</v>
      </c>
      <c r="C134" s="80">
        <v>190790318.91999999</v>
      </c>
      <c r="D134" s="80">
        <v>316313897.02999997</v>
      </c>
      <c r="E134" s="80">
        <v>84959367.010000005</v>
      </c>
      <c r="F134" s="80">
        <v>84830573.849999994</v>
      </c>
      <c r="G134" s="80">
        <f>D134-E134</f>
        <v>231354530.01999998</v>
      </c>
    </row>
    <row r="135" spans="1:7" x14ac:dyDescent="0.25">
      <c r="A135" s="84" t="s">
        <v>335</v>
      </c>
      <c r="B135" s="80">
        <v>0</v>
      </c>
      <c r="C135" s="80">
        <v>30675035.960000001</v>
      </c>
      <c r="D135" s="80">
        <v>30675035.960000001</v>
      </c>
      <c r="E135" s="80">
        <v>2625421.65</v>
      </c>
      <c r="F135" s="80">
        <v>2625421.65</v>
      </c>
      <c r="G135" s="80">
        <f t="shared" ref="G135:G136" si="32">D135-E135</f>
        <v>28049614.310000002</v>
      </c>
    </row>
    <row r="136" spans="1:7" x14ac:dyDescent="0.25">
      <c r="A136" s="84" t="s">
        <v>336</v>
      </c>
      <c r="B136" s="80"/>
      <c r="C136" s="80"/>
      <c r="D136" s="80">
        <v>0</v>
      </c>
      <c r="E136" s="80"/>
      <c r="F136" s="80"/>
      <c r="G136" s="80">
        <f t="shared" si="32"/>
        <v>0</v>
      </c>
    </row>
    <row r="137" spans="1:7" x14ac:dyDescent="0.25">
      <c r="A137" s="83" t="s">
        <v>337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338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339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340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341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342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3300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344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345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346</v>
      </c>
      <c r="B146" s="80">
        <f>SUM(B147:B149)</f>
        <v>2500000</v>
      </c>
      <c r="C146" s="80">
        <f t="shared" ref="C146:G146" si="35">SUM(C147:C149)</f>
        <v>25283020.300000001</v>
      </c>
      <c r="D146" s="80">
        <f t="shared" si="35"/>
        <v>27783020.300000001</v>
      </c>
      <c r="E146" s="80">
        <f t="shared" si="35"/>
        <v>19300000</v>
      </c>
      <c r="F146" s="80">
        <f t="shared" si="35"/>
        <v>19300000</v>
      </c>
      <c r="G146" s="80">
        <f t="shared" si="35"/>
        <v>8483020.3000000007</v>
      </c>
    </row>
    <row r="147" spans="1:7" x14ac:dyDescent="0.25">
      <c r="A147" s="84" t="s">
        <v>347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348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349</v>
      </c>
      <c r="B149" s="80">
        <v>2500000</v>
      </c>
      <c r="C149" s="80">
        <v>25283020.300000001</v>
      </c>
      <c r="D149" s="80">
        <v>27783020.300000001</v>
      </c>
      <c r="E149" s="80">
        <v>19300000</v>
      </c>
      <c r="F149" s="80">
        <v>19300000</v>
      </c>
      <c r="G149" s="80">
        <f t="shared" si="36"/>
        <v>8483020.3000000007</v>
      </c>
    </row>
    <row r="150" spans="1:7" x14ac:dyDescent="0.25">
      <c r="A150" s="83" t="s">
        <v>350</v>
      </c>
      <c r="B150" s="80">
        <f>SUM(B151:B157)</f>
        <v>10265081.879999999</v>
      </c>
      <c r="C150" s="80">
        <f t="shared" ref="C150:G150" si="37">SUM(C151:C157)</f>
        <v>0</v>
      </c>
      <c r="D150" s="80">
        <f t="shared" si="37"/>
        <v>10265081.879999999</v>
      </c>
      <c r="E150" s="80">
        <f t="shared" si="37"/>
        <v>4319185.2300000004</v>
      </c>
      <c r="F150" s="80">
        <f t="shared" si="37"/>
        <v>4319185.2300000004</v>
      </c>
      <c r="G150" s="80">
        <f t="shared" si="37"/>
        <v>5945896.6500000004</v>
      </c>
    </row>
    <row r="151" spans="1:7" x14ac:dyDescent="0.25">
      <c r="A151" s="84" t="s">
        <v>351</v>
      </c>
      <c r="B151" s="80">
        <v>6620176.6799999997</v>
      </c>
      <c r="C151" s="80">
        <v>0</v>
      </c>
      <c r="D151" s="80">
        <v>6620176.6799999997</v>
      </c>
      <c r="E151" s="80">
        <v>2966472</v>
      </c>
      <c r="F151" s="80">
        <v>2966472</v>
      </c>
      <c r="G151" s="80">
        <f>D151-E151</f>
        <v>3653704.6799999997</v>
      </c>
    </row>
    <row r="152" spans="1:7" x14ac:dyDescent="0.25">
      <c r="A152" s="84" t="s">
        <v>352</v>
      </c>
      <c r="B152" s="80">
        <v>3644905.2</v>
      </c>
      <c r="C152" s="80">
        <v>0</v>
      </c>
      <c r="D152" s="80">
        <v>3644905.2</v>
      </c>
      <c r="E152" s="80">
        <v>1352713.23</v>
      </c>
      <c r="F152" s="80">
        <v>1352713.23</v>
      </c>
      <c r="G152" s="80">
        <f t="shared" ref="G152:G157" si="38">D152-E152</f>
        <v>2292191.9700000002</v>
      </c>
    </row>
    <row r="153" spans="1:7" x14ac:dyDescent="0.25">
      <c r="A153" s="84" t="s">
        <v>353</v>
      </c>
      <c r="B153" s="80"/>
      <c r="C153" s="80"/>
      <c r="D153" s="80">
        <v>0</v>
      </c>
      <c r="E153" s="80"/>
      <c r="F153" s="80"/>
      <c r="G153" s="80">
        <f t="shared" si="38"/>
        <v>0</v>
      </c>
    </row>
    <row r="154" spans="1:7" x14ac:dyDescent="0.25">
      <c r="A154" s="42" t="s">
        <v>354</v>
      </c>
      <c r="B154" s="80"/>
      <c r="C154" s="80"/>
      <c r="D154" s="80">
        <v>0</v>
      </c>
      <c r="E154" s="80"/>
      <c r="F154" s="80"/>
      <c r="G154" s="80">
        <f t="shared" si="38"/>
        <v>0</v>
      </c>
    </row>
    <row r="155" spans="1:7" x14ac:dyDescent="0.25">
      <c r="A155" s="84" t="s">
        <v>355</v>
      </c>
      <c r="B155" s="80"/>
      <c r="C155" s="80"/>
      <c r="D155" s="80">
        <v>0</v>
      </c>
      <c r="E155" s="80"/>
      <c r="F155" s="80"/>
      <c r="G155" s="80">
        <f t="shared" si="38"/>
        <v>0</v>
      </c>
    </row>
    <row r="156" spans="1:7" x14ac:dyDescent="0.25">
      <c r="A156" s="84" t="s">
        <v>356</v>
      </c>
      <c r="B156" s="80"/>
      <c r="C156" s="80"/>
      <c r="D156" s="80">
        <v>0</v>
      </c>
      <c r="E156" s="80"/>
      <c r="F156" s="80"/>
      <c r="G156" s="80">
        <f t="shared" si="38"/>
        <v>0</v>
      </c>
    </row>
    <row r="157" spans="1:7" x14ac:dyDescent="0.25">
      <c r="A157" s="84" t="s">
        <v>357</v>
      </c>
      <c r="B157" s="80"/>
      <c r="C157" s="80"/>
      <c r="D157" s="80">
        <v>0</v>
      </c>
      <c r="E157" s="80"/>
      <c r="F157" s="80"/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359</v>
      </c>
      <c r="B159" s="79">
        <f>B9+B84</f>
        <v>766949850.64999998</v>
      </c>
      <c r="C159" s="79">
        <f t="shared" ref="C159:G159" si="39">C9+C84</f>
        <v>567227133.99000001</v>
      </c>
      <c r="D159" s="79">
        <f t="shared" si="39"/>
        <v>1334176984.6399999</v>
      </c>
      <c r="E159" s="79">
        <f t="shared" si="39"/>
        <v>400179321.03000003</v>
      </c>
      <c r="F159" s="79">
        <f t="shared" si="39"/>
        <v>399506530.74000001</v>
      </c>
      <c r="G159" s="79">
        <f t="shared" si="39"/>
        <v>933997663.6099999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549768323.64999998</v>
      </c>
      <c r="Q2" s="18">
        <f>'Formato 6 a)'!C9</f>
        <v>205246768.14999998</v>
      </c>
      <c r="R2" s="18">
        <f>'Formato 6 a)'!D9</f>
        <v>755015091.79999995</v>
      </c>
      <c r="S2" s="18">
        <f>'Formato 6 a)'!E9</f>
        <v>234482445.17000002</v>
      </c>
      <c r="T2" s="18">
        <f>'Formato 6 a)'!F9</f>
        <v>234035214.98999998</v>
      </c>
      <c r="U2" s="18">
        <f>'Formato 6 a)'!G9</f>
        <v>520532646.63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137478099.26999998</v>
      </c>
      <c r="Q3" s="18">
        <f>'Formato 6 a)'!C10</f>
        <v>-3765663.0599999996</v>
      </c>
      <c r="R3" s="18">
        <f>'Formato 6 a)'!D10</f>
        <v>133712436.20999999</v>
      </c>
      <c r="S3" s="18">
        <f>'Formato 6 a)'!E10</f>
        <v>64679420.400000006</v>
      </c>
      <c r="T3" s="18">
        <f>'Formato 6 a)'!F10</f>
        <v>64679420.400000006</v>
      </c>
      <c r="U3" s="18">
        <f>'Formato 6 a)'!G10</f>
        <v>69033015.810000002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113468338.31</v>
      </c>
      <c r="Q4" s="18">
        <f>'Formato 6 a)'!C11</f>
        <v>-3269508.79</v>
      </c>
      <c r="R4" s="18">
        <f>'Formato 6 a)'!D11</f>
        <v>110198829.52</v>
      </c>
      <c r="S4" s="18">
        <f>'Formato 6 a)'!E11</f>
        <v>53477386.270000003</v>
      </c>
      <c r="T4" s="18">
        <f>'Formato 6 a)'!F11</f>
        <v>53477386.270000003</v>
      </c>
      <c r="U4" s="18">
        <f>'Formato 6 a)'!G11</f>
        <v>56721443.249999993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14715634.07</v>
      </c>
      <c r="Q6" s="18">
        <f>'Formato 6 a)'!C13</f>
        <v>-413522.47</v>
      </c>
      <c r="R6" s="18">
        <f>'Formato 6 a)'!D13</f>
        <v>14302111.6</v>
      </c>
      <c r="S6" s="18">
        <f>'Formato 6 a)'!E13</f>
        <v>6521012.79</v>
      </c>
      <c r="T6" s="18">
        <f>'Formato 6 a)'!F13</f>
        <v>6521012.79</v>
      </c>
      <c r="U6" s="18">
        <f>'Formato 6 a)'!G13</f>
        <v>7781098.8099999996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1200000</v>
      </c>
      <c r="Q7" s="18">
        <f>'Formato 6 a)'!C14</f>
        <v>0</v>
      </c>
      <c r="R7" s="18">
        <f>'Formato 6 a)'!D14</f>
        <v>1200000</v>
      </c>
      <c r="S7" s="18">
        <f>'Formato 6 a)'!E14</f>
        <v>433322.61</v>
      </c>
      <c r="T7" s="18">
        <f>'Formato 6 a)'!F14</f>
        <v>433322.61</v>
      </c>
      <c r="U7" s="18">
        <f>'Formato 6 a)'!G14</f>
        <v>766677.39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8094126.8899999997</v>
      </c>
      <c r="Q8" s="18">
        <f>'Formato 6 a)'!C15</f>
        <v>-82631.8</v>
      </c>
      <c r="R8" s="18">
        <f>'Formato 6 a)'!D15</f>
        <v>8011495.0899999999</v>
      </c>
      <c r="S8" s="18">
        <f>'Formato 6 a)'!E15</f>
        <v>4247698.7300000004</v>
      </c>
      <c r="T8" s="18">
        <f>'Formato 6 a)'!F15</f>
        <v>4247698.7300000004</v>
      </c>
      <c r="U8" s="18">
        <f>'Formato 6 a)'!G15</f>
        <v>3763796.3599999994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42056559.630000003</v>
      </c>
      <c r="Q11" s="18">
        <f>'Formato 6 a)'!C18</f>
        <v>1888283.5</v>
      </c>
      <c r="R11" s="18">
        <f>'Formato 6 a)'!D18</f>
        <v>43944843.130000003</v>
      </c>
      <c r="S11" s="18">
        <f>'Formato 6 a)'!E18</f>
        <v>18923682.969999999</v>
      </c>
      <c r="T11" s="18">
        <f>'Formato 6 a)'!F18</f>
        <v>18700581.539999999</v>
      </c>
      <c r="U11" s="18">
        <f>'Formato 6 a)'!G18</f>
        <v>25021160.159999996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4263663.0599999996</v>
      </c>
      <c r="Q12" s="18">
        <f>'Formato 6 a)'!C19</f>
        <v>690434.42</v>
      </c>
      <c r="R12" s="18">
        <f>'Formato 6 a)'!D19</f>
        <v>4954097.4799999995</v>
      </c>
      <c r="S12" s="18">
        <f>'Formato 6 a)'!E19</f>
        <v>2139992.7200000002</v>
      </c>
      <c r="T12" s="18">
        <f>'Formato 6 a)'!F19</f>
        <v>2097916.23</v>
      </c>
      <c r="U12" s="18">
        <f>'Formato 6 a)'!G19</f>
        <v>2814104.7599999993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1297113.25</v>
      </c>
      <c r="Q13" s="18">
        <f>'Formato 6 a)'!C20</f>
        <v>37532.97</v>
      </c>
      <c r="R13" s="18">
        <f>'Formato 6 a)'!D20</f>
        <v>1334646.22</v>
      </c>
      <c r="S13" s="18">
        <f>'Formato 6 a)'!E20</f>
        <v>615982.34</v>
      </c>
      <c r="T13" s="18">
        <f>'Formato 6 a)'!F20</f>
        <v>610741.84</v>
      </c>
      <c r="U13" s="18">
        <f>'Formato 6 a)'!G20</f>
        <v>718663.88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32500</v>
      </c>
      <c r="Q14" s="18">
        <f>'Formato 6 a)'!C21</f>
        <v>23444.6</v>
      </c>
      <c r="R14" s="18">
        <f>'Formato 6 a)'!D21</f>
        <v>55944.6</v>
      </c>
      <c r="S14" s="18">
        <f>'Formato 6 a)'!E21</f>
        <v>151</v>
      </c>
      <c r="T14" s="18">
        <f>'Formato 6 a)'!F21</f>
        <v>151</v>
      </c>
      <c r="U14" s="18">
        <f>'Formato 6 a)'!G21</f>
        <v>55793.599999999999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7912542.7400000002</v>
      </c>
      <c r="Q15" s="18">
        <f>'Formato 6 a)'!C22</f>
        <v>888911.35999999999</v>
      </c>
      <c r="R15" s="18">
        <f>'Formato 6 a)'!D22</f>
        <v>8801454.0999999996</v>
      </c>
      <c r="S15" s="18">
        <f>'Formato 6 a)'!E22</f>
        <v>3577050.81</v>
      </c>
      <c r="T15" s="18">
        <f>'Formato 6 a)'!F22</f>
        <v>3569742.81</v>
      </c>
      <c r="U15" s="18">
        <f>'Formato 6 a)'!G22</f>
        <v>5224403.2899999991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7667099.96</v>
      </c>
      <c r="Q16" s="18">
        <f>'Formato 6 a)'!C23</f>
        <v>-54000</v>
      </c>
      <c r="R16" s="18">
        <f>'Formato 6 a)'!D23</f>
        <v>7613099.96</v>
      </c>
      <c r="S16" s="18">
        <f>'Formato 6 a)'!E23</f>
        <v>3940396.88</v>
      </c>
      <c r="T16" s="18">
        <f>'Formato 6 a)'!F23</f>
        <v>3940396.88</v>
      </c>
      <c r="U16" s="18">
        <f>'Formato 6 a)'!G23</f>
        <v>3672703.08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16730275.359999999</v>
      </c>
      <c r="Q17" s="18">
        <f>'Formato 6 a)'!C24</f>
        <v>308055.7</v>
      </c>
      <c r="R17" s="18">
        <f>'Formato 6 a)'!D24</f>
        <v>17038331.059999999</v>
      </c>
      <c r="S17" s="18">
        <f>'Formato 6 a)'!E24</f>
        <v>6796956.7599999998</v>
      </c>
      <c r="T17" s="18">
        <f>'Formato 6 a)'!F24</f>
        <v>6628680.3200000003</v>
      </c>
      <c r="U17" s="18">
        <f>'Formato 6 a)'!G24</f>
        <v>10241374.299999999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2535509.15</v>
      </c>
      <c r="Q18" s="18">
        <f>'Formato 6 a)'!C25</f>
        <v>-140642.23000000001</v>
      </c>
      <c r="R18" s="18">
        <f>'Formato 6 a)'!D25</f>
        <v>2394866.92</v>
      </c>
      <c r="S18" s="18">
        <f>'Formato 6 a)'!E25</f>
        <v>1472874.46</v>
      </c>
      <c r="T18" s="18">
        <f>'Formato 6 a)'!F25</f>
        <v>1472874.46</v>
      </c>
      <c r="U18" s="18">
        <f>'Formato 6 a)'!G25</f>
        <v>921992.46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335000</v>
      </c>
      <c r="Q19" s="18">
        <f>'Formato 6 a)'!C26</f>
        <v>0</v>
      </c>
      <c r="R19" s="18">
        <f>'Formato 6 a)'!D26</f>
        <v>335000</v>
      </c>
      <c r="S19" s="18">
        <f>'Formato 6 a)'!E26</f>
        <v>0</v>
      </c>
      <c r="T19" s="18">
        <f>'Formato 6 a)'!F26</f>
        <v>0</v>
      </c>
      <c r="U19" s="18">
        <f>'Formato 6 a)'!G26</f>
        <v>335000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1282856.1100000001</v>
      </c>
      <c r="Q20" s="18">
        <f>'Formato 6 a)'!C27</f>
        <v>134546.68</v>
      </c>
      <c r="R20" s="18">
        <f>'Formato 6 a)'!D27</f>
        <v>1417402.79</v>
      </c>
      <c r="S20" s="18">
        <f>'Formato 6 a)'!E27</f>
        <v>380278</v>
      </c>
      <c r="T20" s="18">
        <f>'Formato 6 a)'!F27</f>
        <v>380078</v>
      </c>
      <c r="U20" s="18">
        <f>'Formato 6 a)'!G27</f>
        <v>1037124.79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168614845.47000003</v>
      </c>
      <c r="Q21" s="18">
        <f>'Formato 6 a)'!C28</f>
        <v>32945041.850000001</v>
      </c>
      <c r="R21" s="18">
        <f>'Formato 6 a)'!D28</f>
        <v>201559887.31999999</v>
      </c>
      <c r="S21" s="18">
        <f>'Formato 6 a)'!E28</f>
        <v>81298882.650000006</v>
      </c>
      <c r="T21" s="18">
        <f>'Formato 6 a)'!F28</f>
        <v>81123203.620000005</v>
      </c>
      <c r="U21" s="18">
        <f>'Formato 6 a)'!G28</f>
        <v>120261004.66999999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30223400</v>
      </c>
      <c r="Q22" s="18">
        <f>'Formato 6 a)'!C29</f>
        <v>-572461.76</v>
      </c>
      <c r="R22" s="18">
        <f>'Formato 6 a)'!D29</f>
        <v>29650938.239999998</v>
      </c>
      <c r="S22" s="18">
        <f>'Formato 6 a)'!E29</f>
        <v>6442032.2300000004</v>
      </c>
      <c r="T22" s="18">
        <f>'Formato 6 a)'!F29</f>
        <v>6432952.2300000004</v>
      </c>
      <c r="U22" s="18">
        <f>'Formato 6 a)'!G29</f>
        <v>23208906.009999998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8827521.2899999991</v>
      </c>
      <c r="Q23" s="18">
        <f>'Formato 6 a)'!C30</f>
        <v>-95999.99</v>
      </c>
      <c r="R23" s="18">
        <f>'Formato 6 a)'!D30</f>
        <v>8731521.2999999989</v>
      </c>
      <c r="S23" s="18">
        <f>'Formato 6 a)'!E30</f>
        <v>4736261.26</v>
      </c>
      <c r="T23" s="18">
        <f>'Formato 6 a)'!F30</f>
        <v>4736261.26</v>
      </c>
      <c r="U23" s="18">
        <f>'Formato 6 a)'!G30</f>
        <v>3995260.0399999991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55859042.609999999</v>
      </c>
      <c r="Q24" s="18">
        <f>'Formato 6 a)'!C31</f>
        <v>10012314.24</v>
      </c>
      <c r="R24" s="18">
        <f>'Formato 6 a)'!D31</f>
        <v>65871356.850000001</v>
      </c>
      <c r="S24" s="18">
        <f>'Formato 6 a)'!E31</f>
        <v>30963427.800000001</v>
      </c>
      <c r="T24" s="18">
        <f>'Formato 6 a)'!F31</f>
        <v>30962685.399999999</v>
      </c>
      <c r="U24" s="18">
        <f>'Formato 6 a)'!G31</f>
        <v>34907929.049999997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4123300</v>
      </c>
      <c r="Q25" s="18">
        <f>'Formato 6 a)'!C32</f>
        <v>1559300</v>
      </c>
      <c r="R25" s="18">
        <f>'Formato 6 a)'!D32</f>
        <v>5682600</v>
      </c>
      <c r="S25" s="18">
        <f>'Formato 6 a)'!E32</f>
        <v>2227588.2000000002</v>
      </c>
      <c r="T25" s="18">
        <f>'Formato 6 a)'!F32</f>
        <v>2227588.2000000002</v>
      </c>
      <c r="U25" s="18">
        <f>'Formato 6 a)'!G32</f>
        <v>3455011.8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36480414.950000003</v>
      </c>
      <c r="Q26" s="18">
        <f>'Formato 6 a)'!C33</f>
        <v>15276372.24</v>
      </c>
      <c r="R26" s="18">
        <f>'Formato 6 a)'!D33</f>
        <v>51756787.190000005</v>
      </c>
      <c r="S26" s="18">
        <f>'Formato 6 a)'!E33</f>
        <v>25399125.379999999</v>
      </c>
      <c r="T26" s="18">
        <f>'Formato 6 a)'!F33</f>
        <v>25280341.32</v>
      </c>
      <c r="U26" s="18">
        <f>'Formato 6 a)'!G33</f>
        <v>26357661.810000006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6000055.3300000001</v>
      </c>
      <c r="Q27" s="18">
        <f>'Formato 6 a)'!C34</f>
        <v>359113.48</v>
      </c>
      <c r="R27" s="18">
        <f>'Formato 6 a)'!D34</f>
        <v>6359168.8100000005</v>
      </c>
      <c r="S27" s="18">
        <f>'Formato 6 a)'!E34</f>
        <v>1360966.97</v>
      </c>
      <c r="T27" s="18">
        <f>'Formato 6 a)'!F34</f>
        <v>1360966.97</v>
      </c>
      <c r="U27" s="18">
        <f>'Formato 6 a)'!G34</f>
        <v>4998201.8400000008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2576749.92</v>
      </c>
      <c r="Q28" s="18">
        <f>'Formato 6 a)'!C35</f>
        <v>-15350</v>
      </c>
      <c r="R28" s="18">
        <f>'Formato 6 a)'!D35</f>
        <v>2561399.92</v>
      </c>
      <c r="S28" s="18">
        <f>'Formato 6 a)'!E35</f>
        <v>512696.9</v>
      </c>
      <c r="T28" s="18">
        <f>'Formato 6 a)'!F35</f>
        <v>512696.9</v>
      </c>
      <c r="U28" s="18">
        <f>'Formato 6 a)'!G35</f>
        <v>2048703.02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20668649.260000002</v>
      </c>
      <c r="Q29" s="18">
        <f>'Formato 6 a)'!C36</f>
        <v>5802231.6399999997</v>
      </c>
      <c r="R29" s="18">
        <f>'Formato 6 a)'!D36</f>
        <v>26470880.900000002</v>
      </c>
      <c r="S29" s="18">
        <f>'Formato 6 a)'!E36</f>
        <v>7270112.5700000003</v>
      </c>
      <c r="T29" s="18">
        <f>'Formato 6 a)'!F36</f>
        <v>7223040</v>
      </c>
      <c r="U29" s="18">
        <f>'Formato 6 a)'!G36</f>
        <v>19200768.330000002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3855712.11</v>
      </c>
      <c r="Q30" s="18">
        <f>'Formato 6 a)'!C37</f>
        <v>619522</v>
      </c>
      <c r="R30" s="18">
        <f>'Formato 6 a)'!D37</f>
        <v>4475234.1099999994</v>
      </c>
      <c r="S30" s="18">
        <f>'Formato 6 a)'!E37</f>
        <v>2386671.34</v>
      </c>
      <c r="T30" s="18">
        <f>'Formato 6 a)'!F37</f>
        <v>2386671.34</v>
      </c>
      <c r="U30" s="18">
        <f>'Formato 6 a)'!G37</f>
        <v>2088562.7699999996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119795201.65000001</v>
      </c>
      <c r="Q31" s="18">
        <f>'Formato 6 a)'!C38</f>
        <v>9504098.0499999989</v>
      </c>
      <c r="R31" s="18">
        <f>'Formato 6 a)'!D38</f>
        <v>129299299.7</v>
      </c>
      <c r="S31" s="18">
        <f>'Formato 6 a)'!E38</f>
        <v>60458550.080000006</v>
      </c>
      <c r="T31" s="18">
        <f>'Formato 6 a)'!F38</f>
        <v>60450699.200000003</v>
      </c>
      <c r="U31" s="18">
        <f>'Formato 6 a)'!G38</f>
        <v>68840749.61999999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45984308.649999999</v>
      </c>
      <c r="Q32" s="18">
        <f>'Formato 6 a)'!C39</f>
        <v>1200000</v>
      </c>
      <c r="R32" s="18">
        <f>'Formato 6 a)'!D39</f>
        <v>47184308.649999999</v>
      </c>
      <c r="S32" s="18">
        <f>'Formato 6 a)'!E39</f>
        <v>26114810.870000001</v>
      </c>
      <c r="T32" s="18">
        <f>'Formato 6 a)'!F39</f>
        <v>26114810.870000001</v>
      </c>
      <c r="U32" s="18">
        <f>'Formato 6 a)'!G39</f>
        <v>21069497.779999997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1115000</v>
      </c>
      <c r="Q34" s="18">
        <f>'Formato 6 a)'!C41</f>
        <v>-360000</v>
      </c>
      <c r="R34" s="18">
        <f>'Formato 6 a)'!D41</f>
        <v>755000</v>
      </c>
      <c r="S34" s="18">
        <f>'Formato 6 a)'!E41</f>
        <v>400000</v>
      </c>
      <c r="T34" s="18">
        <f>'Formato 6 a)'!F41</f>
        <v>400000</v>
      </c>
      <c r="U34" s="18">
        <f>'Formato 6 a)'!G41</f>
        <v>355000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65766879</v>
      </c>
      <c r="Q35" s="18">
        <f>'Formato 6 a)'!C42</f>
        <v>8447202.0999999996</v>
      </c>
      <c r="R35" s="18">
        <f>'Formato 6 a)'!D42</f>
        <v>74214081.099999994</v>
      </c>
      <c r="S35" s="18">
        <f>'Formato 6 a)'!E42</f>
        <v>30470885.5</v>
      </c>
      <c r="T35" s="18">
        <f>'Formato 6 a)'!F42</f>
        <v>30463034.620000001</v>
      </c>
      <c r="U35" s="18">
        <f>'Formato 6 a)'!G42</f>
        <v>43743195.599999994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6929014</v>
      </c>
      <c r="Q36" s="18">
        <f>'Formato 6 a)'!C43</f>
        <v>216895.95</v>
      </c>
      <c r="R36" s="18">
        <f>'Formato 6 a)'!D43</f>
        <v>7145909.9500000002</v>
      </c>
      <c r="S36" s="18">
        <f>'Formato 6 a)'!E43</f>
        <v>3472853.71</v>
      </c>
      <c r="T36" s="18">
        <f>'Formato 6 a)'!F43</f>
        <v>3472853.71</v>
      </c>
      <c r="U36" s="18">
        <f>'Formato 6 a)'!G43</f>
        <v>3673056.24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12200373.609999999</v>
      </c>
      <c r="Q41" s="18">
        <f>'Formato 6 a)'!C48</f>
        <v>3097584.71</v>
      </c>
      <c r="R41" s="18">
        <f>'Formato 6 a)'!D48</f>
        <v>15297958.320000002</v>
      </c>
      <c r="S41" s="18">
        <f>'Formato 6 a)'!E48</f>
        <v>6251664.7299999995</v>
      </c>
      <c r="T41" s="18">
        <f>'Formato 6 a)'!F48</f>
        <v>6211065.8899999997</v>
      </c>
      <c r="U41" s="18">
        <f>'Formato 6 a)'!G48</f>
        <v>9046293.5900000017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3575722.51</v>
      </c>
      <c r="Q42" s="18">
        <f>'Formato 6 a)'!C49</f>
        <v>1283231.3999999999</v>
      </c>
      <c r="R42" s="18">
        <f>'Formato 6 a)'!D49</f>
        <v>4858953.91</v>
      </c>
      <c r="S42" s="18">
        <f>'Formato 6 a)'!E49</f>
        <v>1180783.3899999999</v>
      </c>
      <c r="T42" s="18">
        <f>'Formato 6 a)'!F49</f>
        <v>1140184.55</v>
      </c>
      <c r="U42" s="18">
        <f>'Formato 6 a)'!G49</f>
        <v>3678170.5200000005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463950</v>
      </c>
      <c r="Q43" s="18">
        <f>'Formato 6 a)'!C50</f>
        <v>77458.98</v>
      </c>
      <c r="R43" s="18">
        <f>'Formato 6 a)'!D50</f>
        <v>541408.98</v>
      </c>
      <c r="S43" s="18">
        <f>'Formato 6 a)'!E50</f>
        <v>10380</v>
      </c>
      <c r="T43" s="18">
        <f>'Formato 6 a)'!F50</f>
        <v>10380</v>
      </c>
      <c r="U43" s="18">
        <f>'Formato 6 a)'!G50</f>
        <v>531028.98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71000</v>
      </c>
      <c r="Q44" s="18">
        <f>'Formato 6 a)'!C51</f>
        <v>0</v>
      </c>
      <c r="R44" s="18">
        <f>'Formato 6 a)'!D51</f>
        <v>71000</v>
      </c>
      <c r="S44" s="18">
        <f>'Formato 6 a)'!E51</f>
        <v>0</v>
      </c>
      <c r="T44" s="18">
        <f>'Formato 6 a)'!F51</f>
        <v>0</v>
      </c>
      <c r="U44" s="18">
        <f>'Formato 6 a)'!G51</f>
        <v>71000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5924999.96</v>
      </c>
      <c r="Q45" s="18">
        <f>'Formato 6 a)'!C52</f>
        <v>376445</v>
      </c>
      <c r="R45" s="18">
        <f>'Formato 6 a)'!D52</f>
        <v>6301444.96</v>
      </c>
      <c r="S45" s="18">
        <f>'Formato 6 a)'!E52</f>
        <v>4908558.96</v>
      </c>
      <c r="T45" s="18">
        <f>'Formato 6 a)'!F52</f>
        <v>4908558.96</v>
      </c>
      <c r="U45" s="18">
        <f>'Formato 6 a)'!G52</f>
        <v>1392886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2130555.08</v>
      </c>
      <c r="Q47" s="18">
        <f>'Formato 6 a)'!C54</f>
        <v>549349.32999999996</v>
      </c>
      <c r="R47" s="18">
        <f>'Formato 6 a)'!D54</f>
        <v>2679904.41</v>
      </c>
      <c r="S47" s="18">
        <f>'Formato 6 a)'!E54</f>
        <v>96842.38</v>
      </c>
      <c r="T47" s="18">
        <f>'Formato 6 a)'!F54</f>
        <v>96842.38</v>
      </c>
      <c r="U47" s="18">
        <f>'Formato 6 a)'!G54</f>
        <v>2583062.0300000003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700000</v>
      </c>
      <c r="R49" s="18">
        <f>'Formato 6 a)'!D56</f>
        <v>700000</v>
      </c>
      <c r="S49" s="18">
        <f>'Formato 6 a)'!E56</f>
        <v>0</v>
      </c>
      <c r="T49" s="18">
        <f>'Formato 6 a)'!F56</f>
        <v>0</v>
      </c>
      <c r="U49" s="18">
        <f>'Formato 6 a)'!G56</f>
        <v>700000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34146.06</v>
      </c>
      <c r="Q50" s="18">
        <f>'Formato 6 a)'!C57</f>
        <v>111100</v>
      </c>
      <c r="R50" s="18">
        <f>'Formato 6 a)'!D57</f>
        <v>145246.06</v>
      </c>
      <c r="S50" s="18">
        <f>'Formato 6 a)'!E57</f>
        <v>55100</v>
      </c>
      <c r="T50" s="18">
        <f>'Formato 6 a)'!F57</f>
        <v>55100</v>
      </c>
      <c r="U50" s="18">
        <f>'Formato 6 a)'!G57</f>
        <v>90146.06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42936191.18</v>
      </c>
      <c r="Q51" s="18">
        <f>'Formato 6 a)'!C58</f>
        <v>55346986.950000003</v>
      </c>
      <c r="R51" s="18">
        <f>'Formato 6 a)'!D58</f>
        <v>98283178.13000001</v>
      </c>
      <c r="S51" s="18">
        <f>'Formato 6 a)'!E58</f>
        <v>2374896.7599999998</v>
      </c>
      <c r="T51" s="18">
        <f>'Formato 6 a)'!F58</f>
        <v>2374896.7599999998</v>
      </c>
      <c r="U51" s="18">
        <f>'Formato 6 a)'!G58</f>
        <v>95908281.370000005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37936191.18</v>
      </c>
      <c r="Q52" s="18">
        <f>'Formato 6 a)'!C59</f>
        <v>48345670.25</v>
      </c>
      <c r="R52" s="18">
        <f>'Formato 6 a)'!D59</f>
        <v>86281861.430000007</v>
      </c>
      <c r="S52" s="18">
        <f>'Formato 6 a)'!E59</f>
        <v>996701.2</v>
      </c>
      <c r="T52" s="18">
        <f>'Formato 6 a)'!F59</f>
        <v>996701.2</v>
      </c>
      <c r="U52" s="18">
        <f>'Formato 6 a)'!G59</f>
        <v>85285160.230000004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5000000</v>
      </c>
      <c r="Q53" s="18">
        <f>'Formato 6 a)'!C60</f>
        <v>7001316.7000000002</v>
      </c>
      <c r="R53" s="18">
        <f>'Formato 6 a)'!D60</f>
        <v>12001316.699999999</v>
      </c>
      <c r="S53" s="18">
        <f>'Formato 6 a)'!E60</f>
        <v>1378195.56</v>
      </c>
      <c r="T53" s="18">
        <f>'Formato 6 a)'!F60</f>
        <v>1378195.56</v>
      </c>
      <c r="U53" s="18">
        <f>'Formato 6 a)'!G60</f>
        <v>10623121.139999999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25072052.84</v>
      </c>
      <c r="Q55" s="18">
        <f>'Formato 6 a)'!C62</f>
        <v>90129173.010000005</v>
      </c>
      <c r="R55" s="18">
        <f>'Formato 6 a)'!D62</f>
        <v>115201225.85000001</v>
      </c>
      <c r="S55" s="18">
        <f>'Formato 6 a)'!E62</f>
        <v>0</v>
      </c>
      <c r="T55" s="18">
        <f>'Formato 6 a)'!F62</f>
        <v>0</v>
      </c>
      <c r="U55" s="18">
        <f>'Formato 6 a)'!G62</f>
        <v>115201225.85000001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343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25072052.84</v>
      </c>
      <c r="Q63" s="18">
        <f>'Formato 6 a)'!C70</f>
        <v>90129173.010000005</v>
      </c>
      <c r="R63" s="18">
        <f>'Formato 6 a)'!D70</f>
        <v>115201225.85000001</v>
      </c>
      <c r="S63" s="18">
        <f>'Formato 6 a)'!E70</f>
        <v>0</v>
      </c>
      <c r="T63" s="18">
        <f>'Formato 6 a)'!F70</f>
        <v>0</v>
      </c>
      <c r="U63" s="18">
        <f>'Formato 6 a)'!G70</f>
        <v>115201225.85000001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1615000</v>
      </c>
      <c r="Q64" s="18">
        <f>'Formato 6 a)'!C71</f>
        <v>16101263.140000001</v>
      </c>
      <c r="R64" s="18">
        <f>'Formato 6 a)'!D71</f>
        <v>17716263.140000001</v>
      </c>
      <c r="S64" s="18">
        <f>'Formato 6 a)'!E71</f>
        <v>495347.58</v>
      </c>
      <c r="T64" s="18">
        <f>'Formato 6 a)'!F71</f>
        <v>495347.58</v>
      </c>
      <c r="U64" s="18">
        <f>'Formato 6 a)'!G71</f>
        <v>17220915.560000002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1615000</v>
      </c>
      <c r="Q67" s="18">
        <f>'Formato 6 a)'!C74</f>
        <v>16101263.140000001</v>
      </c>
      <c r="R67" s="18">
        <f>'Formato 6 a)'!D74</f>
        <v>17716263.140000001</v>
      </c>
      <c r="S67" s="18">
        <f>'Formato 6 a)'!E74</f>
        <v>495347.58</v>
      </c>
      <c r="T67" s="18">
        <f>'Formato 6 a)'!F74</f>
        <v>495347.58</v>
      </c>
      <c r="U67" s="18">
        <f>'Formato 6 a)'!G74</f>
        <v>17220915.560000002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217181527</v>
      </c>
      <c r="Q76">
        <f>'Formato 6 a)'!C84</f>
        <v>361980365.84000003</v>
      </c>
      <c r="R76">
        <f>'Formato 6 a)'!D84</f>
        <v>579161892.83999991</v>
      </c>
      <c r="S76">
        <f>'Formato 6 a)'!E84</f>
        <v>165696875.86000001</v>
      </c>
      <c r="T76">
        <f>'Formato 6 a)'!F84</f>
        <v>165471315.75</v>
      </c>
      <c r="U76">
        <f>'Formato 6 a)'!G84</f>
        <v>413465016.97999996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69234030.969999999</v>
      </c>
      <c r="Q77">
        <f>'Formato 6 a)'!C85</f>
        <v>3427679.8499999996</v>
      </c>
      <c r="R77">
        <f>'Formato 6 a)'!D85</f>
        <v>72661710.819999993</v>
      </c>
      <c r="S77">
        <f>'Formato 6 a)'!E85</f>
        <v>29734004.550000004</v>
      </c>
      <c r="T77">
        <f>'Formato 6 a)'!F85</f>
        <v>29734004.550000004</v>
      </c>
      <c r="U77">
        <f>'Formato 6 a)'!G85</f>
        <v>42927706.270000003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56046982.539999999</v>
      </c>
      <c r="Q78">
        <f>'Formato 6 a)'!C86</f>
        <v>2206706.54</v>
      </c>
      <c r="R78">
        <f>'Formato 6 a)'!D86</f>
        <v>58253689.079999998</v>
      </c>
      <c r="S78">
        <f>'Formato 6 a)'!E86</f>
        <v>25383720.280000001</v>
      </c>
      <c r="T78">
        <f>'Formato 6 a)'!F86</f>
        <v>25383720.280000001</v>
      </c>
      <c r="U78">
        <f>'Formato 6 a)'!G86</f>
        <v>32869968.799999997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7391860.4299999997</v>
      </c>
      <c r="Q80">
        <f>'Formato 6 a)'!C88</f>
        <v>-1986.35</v>
      </c>
      <c r="R80">
        <f>'Formato 6 a)'!D88</f>
        <v>7389874.0800000001</v>
      </c>
      <c r="S80">
        <f>'Formato 6 a)'!E88</f>
        <v>2835232.99</v>
      </c>
      <c r="T80">
        <f>'Formato 6 a)'!F88</f>
        <v>2835232.99</v>
      </c>
      <c r="U80">
        <f>'Formato 6 a)'!G88</f>
        <v>4554641.09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5795188</v>
      </c>
      <c r="Q82">
        <f>'Formato 6 a)'!C90</f>
        <v>1222959.6599999999</v>
      </c>
      <c r="R82">
        <f>'Formato 6 a)'!D90</f>
        <v>7018147.6600000001</v>
      </c>
      <c r="S82">
        <f>'Formato 6 a)'!E90</f>
        <v>1515051.28</v>
      </c>
      <c r="T82">
        <f>'Formato 6 a)'!F90</f>
        <v>1515051.28</v>
      </c>
      <c r="U82">
        <f>'Formato 6 a)'!G90</f>
        <v>5503096.3799999999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6165000.04</v>
      </c>
      <c r="Q85">
        <f>'Formato 6 a)'!C93</f>
        <v>3365241.45</v>
      </c>
      <c r="R85">
        <f>'Formato 6 a)'!D93</f>
        <v>9530241.4900000021</v>
      </c>
      <c r="S85">
        <f>'Formato 6 a)'!E93</f>
        <v>3101743.76</v>
      </c>
      <c r="T85">
        <f>'Formato 6 a)'!F93</f>
        <v>3088550.8499999996</v>
      </c>
      <c r="U85">
        <f>'Formato 6 a)'!G93</f>
        <v>6428497.7299999995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442913.8</v>
      </c>
      <c r="R86">
        <f>'Formato 6 a)'!D94</f>
        <v>442913.8</v>
      </c>
      <c r="S86">
        <f>'Formato 6 a)'!E94</f>
        <v>0</v>
      </c>
      <c r="T86">
        <f>'Formato 6 a)'!F94</f>
        <v>0</v>
      </c>
      <c r="U86">
        <f>'Formato 6 a)'!G94</f>
        <v>442913.8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665000.04</v>
      </c>
      <c r="Q87">
        <f>'Formato 6 a)'!C95</f>
        <v>0</v>
      </c>
      <c r="R87">
        <f>'Formato 6 a)'!D95</f>
        <v>665000.04</v>
      </c>
      <c r="S87">
        <f>'Formato 6 a)'!E95</f>
        <v>299800.99</v>
      </c>
      <c r="T87">
        <f>'Formato 6 a)'!F95</f>
        <v>299800.99</v>
      </c>
      <c r="U87">
        <f>'Formato 6 a)'!G95</f>
        <v>365199.05000000005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6667.69</v>
      </c>
      <c r="R89">
        <f>'Formato 6 a)'!D97</f>
        <v>6667.69</v>
      </c>
      <c r="S89">
        <f>'Formato 6 a)'!E97</f>
        <v>0</v>
      </c>
      <c r="T89">
        <f>'Formato 6 a)'!F97</f>
        <v>0</v>
      </c>
      <c r="U89">
        <f>'Formato 6 a)'!G97</f>
        <v>6667.69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5500000</v>
      </c>
      <c r="Q91">
        <f>'Formato 6 a)'!C99</f>
        <v>0</v>
      </c>
      <c r="R91">
        <f>'Formato 6 a)'!D99</f>
        <v>5500000</v>
      </c>
      <c r="S91">
        <f>'Formato 6 a)'!E99</f>
        <v>2801942.77</v>
      </c>
      <c r="T91">
        <f>'Formato 6 a)'!F99</f>
        <v>2788749.86</v>
      </c>
      <c r="U91">
        <f>'Formato 6 a)'!G99</f>
        <v>2698057.23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2018860</v>
      </c>
      <c r="R92">
        <f>'Formato 6 a)'!D100</f>
        <v>2018860</v>
      </c>
      <c r="S92">
        <f>'Formato 6 a)'!E100</f>
        <v>0</v>
      </c>
      <c r="T92">
        <f>'Formato 6 a)'!F100</f>
        <v>0</v>
      </c>
      <c r="U92">
        <f>'Formato 6 a)'!G100</f>
        <v>2018860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896000</v>
      </c>
      <c r="R93">
        <f>'Formato 6 a)'!D101</f>
        <v>896000</v>
      </c>
      <c r="S93">
        <f>'Formato 6 a)'!E101</f>
        <v>0</v>
      </c>
      <c r="T93">
        <f>'Formato 6 a)'!F101</f>
        <v>0</v>
      </c>
      <c r="U93">
        <f>'Formato 6 a)'!G101</f>
        <v>896000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799.96</v>
      </c>
      <c r="R94">
        <f>'Formato 6 a)'!D102</f>
        <v>799.96</v>
      </c>
      <c r="S94">
        <f>'Formato 6 a)'!E102</f>
        <v>0</v>
      </c>
      <c r="T94">
        <f>'Formato 6 a)'!F102</f>
        <v>0</v>
      </c>
      <c r="U94">
        <f>'Formato 6 a)'!G102</f>
        <v>799.96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3493836</v>
      </c>
      <c r="Q95">
        <f>'Formato 6 a)'!C103</f>
        <v>25921512.099999998</v>
      </c>
      <c r="R95">
        <f>'Formato 6 a)'!D103</f>
        <v>29415348.099999998</v>
      </c>
      <c r="S95">
        <f>'Formato 6 a)'!E103</f>
        <v>4737845.13</v>
      </c>
      <c r="T95">
        <f>'Formato 6 a)'!F103</f>
        <v>4654271.09</v>
      </c>
      <c r="U95">
        <f>'Formato 6 a)'!G103</f>
        <v>24677502.970000003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2558025.61</v>
      </c>
      <c r="R96">
        <f>'Formato 6 a)'!D104</f>
        <v>2558025.61</v>
      </c>
      <c r="S96">
        <f>'Formato 6 a)'!E104</f>
        <v>2558025.61</v>
      </c>
      <c r="T96">
        <f>'Formato 6 a)'!F104</f>
        <v>2558025.61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9187912.6899999995</v>
      </c>
      <c r="R98">
        <f>'Formato 6 a)'!D106</f>
        <v>9187912.6899999995</v>
      </c>
      <c r="S98">
        <f>'Formato 6 a)'!E106</f>
        <v>0</v>
      </c>
      <c r="T98">
        <f>'Formato 6 a)'!F106</f>
        <v>0</v>
      </c>
      <c r="U98">
        <f>'Formato 6 a)'!G106</f>
        <v>9187912.6899999995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3493836</v>
      </c>
      <c r="Q100">
        <f>'Formato 6 a)'!C108</f>
        <v>12527299.5</v>
      </c>
      <c r="R100">
        <f>'Formato 6 a)'!D108</f>
        <v>16021135.5</v>
      </c>
      <c r="S100">
        <f>'Formato 6 a)'!E108</f>
        <v>2179819.52</v>
      </c>
      <c r="T100">
        <f>'Formato 6 a)'!F108</f>
        <v>2096245.48</v>
      </c>
      <c r="U100">
        <f>'Formato 6 a)'!G108</f>
        <v>13841315.98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1382168.51</v>
      </c>
      <c r="R101">
        <f>'Formato 6 a)'!D109</f>
        <v>1382168.51</v>
      </c>
      <c r="S101">
        <f>'Formato 6 a)'!E109</f>
        <v>0</v>
      </c>
      <c r="T101">
        <f>'Formato 6 a)'!F109</f>
        <v>0</v>
      </c>
      <c r="U101">
        <f>'Formato 6 a)'!G109</f>
        <v>1382168.51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60000</v>
      </c>
      <c r="R102">
        <f>'Formato 6 a)'!D110</f>
        <v>60000</v>
      </c>
      <c r="S102">
        <f>'Formato 6 a)'!E110</f>
        <v>0</v>
      </c>
      <c r="T102">
        <f>'Formato 6 a)'!F110</f>
        <v>0</v>
      </c>
      <c r="U102">
        <f>'Formato 6 a)'!G110</f>
        <v>60000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0</v>
      </c>
      <c r="Q104">
        <f>'Formato 6 a)'!C112</f>
        <v>206105.79</v>
      </c>
      <c r="R104">
        <f>'Formato 6 a)'!D112</f>
        <v>206105.79</v>
      </c>
      <c r="S104">
        <f>'Formato 6 a)'!E112</f>
        <v>0</v>
      </c>
      <c r="T104">
        <f>'Formato 6 a)'!F112</f>
        <v>0</v>
      </c>
      <c r="U104">
        <f>'Formato 6 a)'!G112</f>
        <v>206105.79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79405357.25</v>
      </c>
      <c r="R105">
        <f>'Formato 6 a)'!D113</f>
        <v>79405357.25</v>
      </c>
      <c r="S105">
        <f>'Formato 6 a)'!E113</f>
        <v>16919308.530000001</v>
      </c>
      <c r="T105">
        <f>'Formato 6 a)'!F113</f>
        <v>16919308.530000001</v>
      </c>
      <c r="U105">
        <f>'Formato 6 a)'!G113</f>
        <v>62486048.719999999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79405357.25</v>
      </c>
      <c r="R109">
        <f>'Formato 6 a)'!D117</f>
        <v>79405357.25</v>
      </c>
      <c r="S109">
        <f>'Formato 6 a)'!E117</f>
        <v>16919308.530000001</v>
      </c>
      <c r="T109">
        <f>'Formato 6 a)'!F117</f>
        <v>16919308.530000001</v>
      </c>
      <c r="U109">
        <f>'Formato 6 a)'!G117</f>
        <v>62486048.719999999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3112200.01</v>
      </c>
      <c r="R115">
        <f>'Formato 6 a)'!D123</f>
        <v>3112200.01</v>
      </c>
      <c r="S115">
        <f>'Formato 6 a)'!E123</f>
        <v>0</v>
      </c>
      <c r="T115">
        <f>'Formato 6 a)'!F123</f>
        <v>0</v>
      </c>
      <c r="U115">
        <f>'Formato 6 a)'!G123</f>
        <v>3112200.01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2227200</v>
      </c>
      <c r="R116">
        <f>'Formato 6 a)'!D124</f>
        <v>2227200</v>
      </c>
      <c r="S116">
        <f>'Formato 6 a)'!E124</f>
        <v>0</v>
      </c>
      <c r="T116">
        <f>'Formato 6 a)'!F124</f>
        <v>0</v>
      </c>
      <c r="U116">
        <f>'Formato 6 a)'!G124</f>
        <v>2227200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0.01</v>
      </c>
      <c r="R117">
        <f>'Formato 6 a)'!D125</f>
        <v>0.01</v>
      </c>
      <c r="S117">
        <f>'Formato 6 a)'!E125</f>
        <v>0</v>
      </c>
      <c r="T117">
        <f>'Formato 6 a)'!F125</f>
        <v>0</v>
      </c>
      <c r="U117">
        <f>'Formato 6 a)'!G125</f>
        <v>0.01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885000</v>
      </c>
      <c r="R120">
        <f>'Formato 6 a)'!D128</f>
        <v>885000</v>
      </c>
      <c r="S120">
        <f>'Formato 6 a)'!E128</f>
        <v>0</v>
      </c>
      <c r="T120">
        <f>'Formato 6 a)'!F128</f>
        <v>0</v>
      </c>
      <c r="U120">
        <f>'Formato 6 a)'!G128</f>
        <v>885000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125523578.11</v>
      </c>
      <c r="Q125">
        <f>'Formato 6 a)'!C133</f>
        <v>221465354.88</v>
      </c>
      <c r="R125">
        <f>'Formato 6 a)'!D133</f>
        <v>346988932.98999995</v>
      </c>
      <c r="S125">
        <f>'Formato 6 a)'!E133</f>
        <v>87584788.660000011</v>
      </c>
      <c r="T125">
        <f>'Formato 6 a)'!F133</f>
        <v>87455995.5</v>
      </c>
      <c r="U125">
        <f>'Formato 6 a)'!G133</f>
        <v>259404144.32999998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125523578.11</v>
      </c>
      <c r="Q126">
        <f>'Formato 6 a)'!C134</f>
        <v>190790318.91999999</v>
      </c>
      <c r="R126">
        <f>'Formato 6 a)'!D134</f>
        <v>316313897.02999997</v>
      </c>
      <c r="S126">
        <f>'Formato 6 a)'!E134</f>
        <v>84959367.010000005</v>
      </c>
      <c r="T126">
        <f>'Formato 6 a)'!F134</f>
        <v>84830573.849999994</v>
      </c>
      <c r="U126">
        <f>'Formato 6 a)'!G134</f>
        <v>231354530.01999998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30675035.960000001</v>
      </c>
      <c r="R127">
        <f>'Formato 6 a)'!D135</f>
        <v>30675035.960000001</v>
      </c>
      <c r="S127">
        <f>'Formato 6 a)'!E135</f>
        <v>2625421.65</v>
      </c>
      <c r="T127">
        <f>'Formato 6 a)'!F135</f>
        <v>2625421.65</v>
      </c>
      <c r="U127">
        <f>'Formato 6 a)'!G135</f>
        <v>28049614.310000002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343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2500000</v>
      </c>
      <c r="Q138">
        <f>'Formato 6 a)'!C146</f>
        <v>25283020.300000001</v>
      </c>
      <c r="R138">
        <f>'Formato 6 a)'!D146</f>
        <v>27783020.300000001</v>
      </c>
      <c r="S138">
        <f>'Formato 6 a)'!E146</f>
        <v>19300000</v>
      </c>
      <c r="T138">
        <f>'Formato 6 a)'!F146</f>
        <v>19300000</v>
      </c>
      <c r="U138">
        <f>'Formato 6 a)'!G146</f>
        <v>8483020.3000000007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2500000</v>
      </c>
      <c r="Q141">
        <f>'Formato 6 a)'!C149</f>
        <v>25283020.300000001</v>
      </c>
      <c r="R141">
        <f>'Formato 6 a)'!D149</f>
        <v>27783020.300000001</v>
      </c>
      <c r="S141">
        <f>'Formato 6 a)'!E149</f>
        <v>19300000</v>
      </c>
      <c r="T141">
        <f>'Formato 6 a)'!F149</f>
        <v>19300000</v>
      </c>
      <c r="U141">
        <f>'Formato 6 a)'!G149</f>
        <v>8483020.3000000007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10265081.879999999</v>
      </c>
      <c r="Q142">
        <f>'Formato 6 a)'!C150</f>
        <v>0</v>
      </c>
      <c r="R142">
        <f>'Formato 6 a)'!D150</f>
        <v>10265081.879999999</v>
      </c>
      <c r="S142">
        <f>'Formato 6 a)'!E150</f>
        <v>4319185.2300000004</v>
      </c>
      <c r="T142">
        <f>'Formato 6 a)'!F150</f>
        <v>4319185.2300000004</v>
      </c>
      <c r="U142">
        <f>'Formato 6 a)'!G150</f>
        <v>5945896.6500000004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6620176.6799999997</v>
      </c>
      <c r="Q143">
        <f>'Formato 6 a)'!C151</f>
        <v>0</v>
      </c>
      <c r="R143">
        <f>'Formato 6 a)'!D151</f>
        <v>6620176.6799999997</v>
      </c>
      <c r="S143">
        <f>'Formato 6 a)'!E151</f>
        <v>2966472</v>
      </c>
      <c r="T143">
        <f>'Formato 6 a)'!F151</f>
        <v>2966472</v>
      </c>
      <c r="U143">
        <f>'Formato 6 a)'!G151</f>
        <v>3653704.6799999997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3644905.2</v>
      </c>
      <c r="Q144">
        <f>'Formato 6 a)'!C152</f>
        <v>0</v>
      </c>
      <c r="R144">
        <f>'Formato 6 a)'!D152</f>
        <v>3644905.2</v>
      </c>
      <c r="S144">
        <f>'Formato 6 a)'!E152</f>
        <v>1352713.23</v>
      </c>
      <c r="T144">
        <f>'Formato 6 a)'!F152</f>
        <v>1352713.23</v>
      </c>
      <c r="U144">
        <f>'Formato 6 a)'!G152</f>
        <v>2292191.9700000002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766949850.64999998</v>
      </c>
      <c r="Q150">
        <f>'Formato 6 a)'!C159</f>
        <v>567227133.99000001</v>
      </c>
      <c r="R150">
        <f>'Formato 6 a)'!D159</f>
        <v>1334176984.6399999</v>
      </c>
      <c r="S150">
        <f>'Formato 6 a)'!E159</f>
        <v>400179321.03000003</v>
      </c>
      <c r="T150">
        <f>'Formato 6 a)'!F159</f>
        <v>399506530.74000001</v>
      </c>
      <c r="U150">
        <f>'Formato 6 a)'!G159</f>
        <v>933997663.6099999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5" t="s">
        <v>3289</v>
      </c>
      <c r="B1" s="175"/>
      <c r="C1" s="175"/>
      <c r="D1" s="175"/>
      <c r="E1" s="175"/>
      <c r="F1" s="175"/>
      <c r="G1" s="175"/>
    </row>
    <row r="2" spans="1:7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276</v>
      </c>
      <c r="B3" s="160"/>
      <c r="C3" s="160"/>
      <c r="D3" s="160"/>
      <c r="E3" s="160"/>
      <c r="F3" s="160"/>
      <c r="G3" s="161"/>
    </row>
    <row r="4" spans="1:7" x14ac:dyDescent="0.25">
      <c r="A4" s="159" t="s">
        <v>430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junio de 2018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0</v>
      </c>
      <c r="B7" s="173" t="s">
        <v>278</v>
      </c>
      <c r="C7" s="173"/>
      <c r="D7" s="173"/>
      <c r="E7" s="173"/>
      <c r="F7" s="173"/>
      <c r="G7" s="177" t="s">
        <v>279</v>
      </c>
    </row>
    <row r="8" spans="1:7" ht="30" x14ac:dyDescent="0.25">
      <c r="A8" s="172"/>
      <c r="B8" s="46" t="s">
        <v>280</v>
      </c>
      <c r="C8" s="45" t="s">
        <v>210</v>
      </c>
      <c r="D8" s="46" t="s">
        <v>211</v>
      </c>
      <c r="E8" s="46" t="s">
        <v>166</v>
      </c>
      <c r="F8" s="46" t="s">
        <v>184</v>
      </c>
      <c r="G8" s="176"/>
    </row>
    <row r="9" spans="1:7" ht="14.25" x14ac:dyDescent="0.45">
      <c r="A9" s="52" t="s">
        <v>439</v>
      </c>
      <c r="B9" s="59">
        <f>SUM(B10:GASTO_NE_FIN_01)</f>
        <v>549768323.64999998</v>
      </c>
      <c r="C9" s="59">
        <f>SUM(C10:GASTO_NE_FIN_02)</f>
        <v>205246768.15000001</v>
      </c>
      <c r="D9" s="59">
        <f>SUM(D10:GASTO_NE_FIN_03)</f>
        <v>755015091.79999995</v>
      </c>
      <c r="E9" s="59">
        <f>SUM(E10:GASTO_NE_FIN_04)</f>
        <v>234482445.17000002</v>
      </c>
      <c r="F9" s="59">
        <f>SUM(F10:GASTO_NE_FIN_05)</f>
        <v>234035214.99000001</v>
      </c>
      <c r="G9" s="59">
        <f>SUM(G10:GASTO_NE_FIN_06)</f>
        <v>520532646.63</v>
      </c>
    </row>
    <row r="10" spans="1:7" s="24" customFormat="1" x14ac:dyDescent="0.25">
      <c r="A10" s="144" t="s">
        <v>431</v>
      </c>
      <c r="B10" s="60">
        <v>503784015</v>
      </c>
      <c r="C10" s="60">
        <v>0</v>
      </c>
      <c r="D10" s="60">
        <v>503784015</v>
      </c>
      <c r="E10" s="60">
        <v>208367634.30000001</v>
      </c>
      <c r="F10" s="60">
        <v>207920404.12</v>
      </c>
      <c r="G10" s="77">
        <f>D10-E10</f>
        <v>295416380.69999999</v>
      </c>
    </row>
    <row r="11" spans="1:7" s="24" customFormat="1" x14ac:dyDescent="0.25">
      <c r="A11" s="144" t="s">
        <v>432</v>
      </c>
      <c r="B11" s="60">
        <v>45984308.649999999</v>
      </c>
      <c r="C11" s="60">
        <v>0</v>
      </c>
      <c r="D11" s="60">
        <v>45984308.649999999</v>
      </c>
      <c r="E11" s="60">
        <v>26114810.870000001</v>
      </c>
      <c r="F11" s="60">
        <v>26114810.870000001</v>
      </c>
      <c r="G11" s="77">
        <f t="shared" ref="G11:G17" si="0">D11-E11</f>
        <v>19869497.779999997</v>
      </c>
    </row>
    <row r="12" spans="1:7" s="24" customFormat="1" x14ac:dyDescent="0.25">
      <c r="A12" s="144" t="s">
        <v>433</v>
      </c>
      <c r="B12" s="60">
        <v>0</v>
      </c>
      <c r="C12" s="60">
        <v>204046768.15000001</v>
      </c>
      <c r="D12" s="60">
        <v>204046768.15000001</v>
      </c>
      <c r="E12" s="60">
        <v>0</v>
      </c>
      <c r="F12" s="60">
        <v>0</v>
      </c>
      <c r="G12" s="77">
        <f t="shared" si="0"/>
        <v>204046768.15000001</v>
      </c>
    </row>
    <row r="13" spans="1:7" s="24" customFormat="1" x14ac:dyDescent="0.25">
      <c r="A13" s="144" t="s">
        <v>434</v>
      </c>
      <c r="B13" s="60">
        <v>0</v>
      </c>
      <c r="C13" s="60">
        <v>1200000</v>
      </c>
      <c r="D13" s="60">
        <v>1200000</v>
      </c>
      <c r="E13" s="60">
        <v>0</v>
      </c>
      <c r="F13" s="60">
        <v>0</v>
      </c>
      <c r="G13" s="77">
        <f t="shared" si="0"/>
        <v>1200000</v>
      </c>
    </row>
    <row r="14" spans="1:7" s="24" customFormat="1" x14ac:dyDescent="0.25">
      <c r="A14" s="144" t="s">
        <v>435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440</v>
      </c>
      <c r="B19" s="61">
        <f>SUM(B20:GASTO_E_FIN_01)</f>
        <v>217181527</v>
      </c>
      <c r="C19" s="61">
        <f>SUM(C20:GASTO_E_FIN_02)</f>
        <v>361980365.83999997</v>
      </c>
      <c r="D19" s="61">
        <f>SUM(D20:GASTO_E_FIN_03)</f>
        <v>579161892.83999991</v>
      </c>
      <c r="E19" s="61">
        <f>SUM(E20:GASTO_E_FIN_04)</f>
        <v>165696875.86000001</v>
      </c>
      <c r="F19" s="61">
        <f>SUM(F20:GASTO_E_FIN_05)</f>
        <v>1864834.53</v>
      </c>
      <c r="G19" s="61">
        <f>SUM(G20:GASTO_E_FIN_06)</f>
        <v>413465016.9799999</v>
      </c>
    </row>
    <row r="20" spans="1:7" s="24" customFormat="1" x14ac:dyDescent="0.25">
      <c r="A20" s="144" t="s">
        <v>431</v>
      </c>
      <c r="B20" s="60">
        <v>217181527</v>
      </c>
      <c r="C20" s="60">
        <v>361980365.83999997</v>
      </c>
      <c r="D20" s="60">
        <v>579161892.83999991</v>
      </c>
      <c r="E20" s="60">
        <v>165696875.86000001</v>
      </c>
      <c r="F20" s="60">
        <v>1864834.53</v>
      </c>
      <c r="G20" s="60">
        <f>D20-E20</f>
        <v>413465016.9799999</v>
      </c>
    </row>
    <row r="21" spans="1:7" s="24" customFormat="1" x14ac:dyDescent="0.25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685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359</v>
      </c>
      <c r="B29" s="61">
        <f>GASTO_NE_T1+GASTO_E_T1</f>
        <v>766949850.64999998</v>
      </c>
      <c r="C29" s="61">
        <f>GASTO_NE_T2+GASTO_E_T2</f>
        <v>567227133.99000001</v>
      </c>
      <c r="D29" s="61">
        <f>GASTO_NE_T3+GASTO_E_T3</f>
        <v>1334176984.6399999</v>
      </c>
      <c r="E29" s="61">
        <f>GASTO_NE_T4+GASTO_E_T4</f>
        <v>400179321.03000003</v>
      </c>
      <c r="F29" s="61">
        <f>GASTO_NE_T5+GASTO_E_T5</f>
        <v>235900049.52000001</v>
      </c>
      <c r="G29" s="61">
        <f>GASTO_NE_T6+GASTO_E_T6</f>
        <v>933997663.6099999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549768323.64999998</v>
      </c>
      <c r="Q2" s="18">
        <f>GASTO_NE_T2</f>
        <v>205246768.15000001</v>
      </c>
      <c r="R2" s="18">
        <f>GASTO_NE_T3</f>
        <v>755015091.79999995</v>
      </c>
      <c r="S2" s="18">
        <f>GASTO_NE_T4</f>
        <v>234482445.17000002</v>
      </c>
      <c r="T2" s="18">
        <f>GASTO_NE_T5</f>
        <v>234035214.99000001</v>
      </c>
      <c r="U2" s="18">
        <f>GASTO_NE_T6</f>
        <v>520532646.63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217181527</v>
      </c>
      <c r="Q3" s="18">
        <f>GASTO_E_T2</f>
        <v>361980365.83999997</v>
      </c>
      <c r="R3" s="18">
        <f>GASTO_E_T3</f>
        <v>579161892.83999991</v>
      </c>
      <c r="S3" s="18">
        <f>GASTO_E_T4</f>
        <v>165696875.86000001</v>
      </c>
      <c r="T3" s="18">
        <f>GASTO_E_T5</f>
        <v>1864834.53</v>
      </c>
      <c r="U3" s="18">
        <f>GASTO_E_T6</f>
        <v>413465016.9799999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766949850.64999998</v>
      </c>
      <c r="Q4" s="18">
        <f>TOTAL_E_T2</f>
        <v>567227133.99000001</v>
      </c>
      <c r="R4" s="18">
        <f>TOTAL_E_T3</f>
        <v>1334176984.6399999</v>
      </c>
      <c r="S4" s="18">
        <f>TOTAL_E_T4</f>
        <v>400179321.03000003</v>
      </c>
      <c r="T4" s="18">
        <f>TOTAL_E_T5</f>
        <v>235900049.52000001</v>
      </c>
      <c r="U4" s="18">
        <f>TOTAL_E_T6</f>
        <v>933997663.6099999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6" zoomScale="90" zoomScaleNormal="90" workbookViewId="0">
      <selection activeCell="C73" sqref="C73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1" t="s">
        <v>3288</v>
      </c>
      <c r="B1" s="182"/>
      <c r="C1" s="182"/>
      <c r="D1" s="182"/>
      <c r="E1" s="182"/>
      <c r="F1" s="182"/>
      <c r="G1" s="182"/>
    </row>
    <row r="2" spans="1:7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395</v>
      </c>
      <c r="B3" s="160"/>
      <c r="C3" s="160"/>
      <c r="D3" s="160"/>
      <c r="E3" s="160"/>
      <c r="F3" s="160"/>
      <c r="G3" s="161"/>
    </row>
    <row r="4" spans="1:7" x14ac:dyDescent="0.25">
      <c r="A4" s="159" t="s">
        <v>396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junio de 2018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60" t="s">
        <v>0</v>
      </c>
      <c r="B7" s="165" t="s">
        <v>278</v>
      </c>
      <c r="C7" s="166"/>
      <c r="D7" s="166"/>
      <c r="E7" s="166"/>
      <c r="F7" s="167"/>
      <c r="G7" s="177" t="s">
        <v>3285</v>
      </c>
    </row>
    <row r="8" spans="1:7" ht="30.75" customHeight="1" x14ac:dyDescent="0.25">
      <c r="A8" s="160"/>
      <c r="B8" s="46" t="s">
        <v>280</v>
      </c>
      <c r="C8" s="45" t="s">
        <v>361</v>
      </c>
      <c r="D8" s="46" t="s">
        <v>282</v>
      </c>
      <c r="E8" s="46" t="s">
        <v>166</v>
      </c>
      <c r="F8" s="47" t="s">
        <v>184</v>
      </c>
      <c r="G8" s="176"/>
    </row>
    <row r="9" spans="1:7" ht="14.25" x14ac:dyDescent="0.45">
      <c r="A9" s="52" t="s">
        <v>362</v>
      </c>
      <c r="B9" s="70">
        <f>SUM(B10,B19,B27,B37)</f>
        <v>549768323.64999998</v>
      </c>
      <c r="C9" s="70">
        <f t="shared" ref="C9:G9" si="0">SUM(C10,C19,C27,C37)</f>
        <v>205246768.15000001</v>
      </c>
      <c r="D9" s="70">
        <f t="shared" si="0"/>
        <v>755015091.80000007</v>
      </c>
      <c r="E9" s="70">
        <f t="shared" si="0"/>
        <v>234482445.16999999</v>
      </c>
      <c r="F9" s="70">
        <f t="shared" si="0"/>
        <v>234035214.98999998</v>
      </c>
      <c r="G9" s="70">
        <f t="shared" si="0"/>
        <v>520532646.62999994</v>
      </c>
    </row>
    <row r="10" spans="1:7" ht="14.25" x14ac:dyDescent="0.45">
      <c r="A10" s="53" t="s">
        <v>363</v>
      </c>
      <c r="B10" s="71">
        <f>SUM(B11:B18)</f>
        <v>171796662.31</v>
      </c>
      <c r="C10" s="71">
        <f t="shared" ref="C10:F10" si="1">SUM(C11:C18)</f>
        <v>106728280.01000001</v>
      </c>
      <c r="D10" s="71">
        <f t="shared" si="1"/>
        <v>278524942.31999999</v>
      </c>
      <c r="E10" s="71">
        <f t="shared" si="1"/>
        <v>74210633.890000001</v>
      </c>
      <c r="F10" s="71">
        <f t="shared" si="1"/>
        <v>74119610.870000005</v>
      </c>
      <c r="G10" s="71">
        <f>SUM(G11:G18)</f>
        <v>204314308.42999995</v>
      </c>
    </row>
    <row r="11" spans="1:7" x14ac:dyDescent="0.25">
      <c r="A11" s="63" t="s">
        <v>364</v>
      </c>
      <c r="B11" s="72">
        <v>21433082.780000001</v>
      </c>
      <c r="C11" s="72">
        <v>-13095.11</v>
      </c>
      <c r="D11" s="72">
        <v>21419987.670000002</v>
      </c>
      <c r="E11" s="72">
        <v>9468785.1300000008</v>
      </c>
      <c r="F11" s="72">
        <v>9466885.1300000008</v>
      </c>
      <c r="G11" s="72">
        <f>D11-E11</f>
        <v>11951202.540000001</v>
      </c>
    </row>
    <row r="12" spans="1:7" x14ac:dyDescent="0.25">
      <c r="A12" s="63" t="s">
        <v>365</v>
      </c>
      <c r="B12" s="72">
        <v>1082225.83</v>
      </c>
      <c r="C12" s="72">
        <v>0.73</v>
      </c>
      <c r="D12" s="72">
        <v>1082226.56</v>
      </c>
      <c r="E12" s="72">
        <v>490473.92</v>
      </c>
      <c r="F12" s="72">
        <v>490473.92</v>
      </c>
      <c r="G12" s="72">
        <f t="shared" ref="G12:G18" si="2">D12-E12</f>
        <v>591752.64000000013</v>
      </c>
    </row>
    <row r="13" spans="1:7" x14ac:dyDescent="0.25">
      <c r="A13" s="63" t="s">
        <v>366</v>
      </c>
      <c r="B13" s="72">
        <v>56588043.670000002</v>
      </c>
      <c r="C13" s="72">
        <v>5464618.5199999996</v>
      </c>
      <c r="D13" s="72">
        <v>62052662.189999998</v>
      </c>
      <c r="E13" s="72">
        <v>28152094.699999999</v>
      </c>
      <c r="F13" s="72">
        <v>28118317.280000001</v>
      </c>
      <c r="G13" s="72">
        <f t="shared" si="2"/>
        <v>33900567.489999995</v>
      </c>
    </row>
    <row r="14" spans="1:7" x14ac:dyDescent="0.25">
      <c r="A14" s="63" t="s">
        <v>367</v>
      </c>
      <c r="B14" s="72"/>
      <c r="C14" s="72"/>
      <c r="D14" s="72">
        <v>0</v>
      </c>
      <c r="E14" s="72"/>
      <c r="F14" s="72"/>
      <c r="G14" s="72">
        <f t="shared" si="2"/>
        <v>0</v>
      </c>
    </row>
    <row r="15" spans="1:7" x14ac:dyDescent="0.25">
      <c r="A15" s="63" t="s">
        <v>368</v>
      </c>
      <c r="B15" s="72">
        <v>72608024.670000002</v>
      </c>
      <c r="C15" s="72">
        <v>98718684.780000001</v>
      </c>
      <c r="D15" s="72">
        <v>171326709.44999999</v>
      </c>
      <c r="E15" s="72">
        <v>27075447.609999999</v>
      </c>
      <c r="F15" s="72">
        <v>27027510.030000001</v>
      </c>
      <c r="G15" s="72">
        <f t="shared" si="2"/>
        <v>144251261.83999997</v>
      </c>
    </row>
    <row r="16" spans="1:7" x14ac:dyDescent="0.25">
      <c r="A16" s="63" t="s">
        <v>369</v>
      </c>
      <c r="B16" s="72"/>
      <c r="C16" s="72"/>
      <c r="D16" s="72">
        <v>0</v>
      </c>
      <c r="E16" s="72"/>
      <c r="F16" s="72"/>
      <c r="G16" s="72">
        <f t="shared" si="2"/>
        <v>0</v>
      </c>
    </row>
    <row r="17" spans="1:7" x14ac:dyDescent="0.25">
      <c r="A17" s="63" t="s">
        <v>370</v>
      </c>
      <c r="B17" s="72">
        <v>20085285.359999999</v>
      </c>
      <c r="C17" s="72">
        <v>2558071.09</v>
      </c>
      <c r="D17" s="72">
        <v>22643356.449999999</v>
      </c>
      <c r="E17" s="72">
        <v>9023832.5299999993</v>
      </c>
      <c r="F17" s="72">
        <v>9016424.5099999998</v>
      </c>
      <c r="G17" s="72">
        <f t="shared" si="2"/>
        <v>13619523.92</v>
      </c>
    </row>
    <row r="18" spans="1:7" x14ac:dyDescent="0.25">
      <c r="A18" s="63" t="s">
        <v>371</v>
      </c>
      <c r="B18" s="72"/>
      <c r="C18" s="72"/>
      <c r="D18" s="72">
        <v>0</v>
      </c>
      <c r="E18" s="72"/>
      <c r="F18" s="72"/>
      <c r="G18" s="72">
        <f t="shared" si="2"/>
        <v>0</v>
      </c>
    </row>
    <row r="19" spans="1:7" ht="14.25" x14ac:dyDescent="0.45">
      <c r="A19" s="53" t="s">
        <v>372</v>
      </c>
      <c r="B19" s="71">
        <f>SUM(B20:B26)</f>
        <v>288004521.28000003</v>
      </c>
      <c r="C19" s="71">
        <f t="shared" ref="C19:F19" si="3">SUM(C20:C26)</f>
        <v>97179971.24000001</v>
      </c>
      <c r="D19" s="71">
        <f t="shared" si="3"/>
        <v>385184492.52000004</v>
      </c>
      <c r="E19" s="71">
        <f t="shared" si="3"/>
        <v>124273075.24999999</v>
      </c>
      <c r="F19" s="71">
        <f t="shared" si="3"/>
        <v>123986252.14</v>
      </c>
      <c r="G19" s="71">
        <f>SUM(G20:G26)</f>
        <v>260911417.26999998</v>
      </c>
    </row>
    <row r="20" spans="1:7" x14ac:dyDescent="0.25">
      <c r="A20" s="63" t="s">
        <v>373</v>
      </c>
      <c r="B20" s="71">
        <v>26030876.530000001</v>
      </c>
      <c r="C20" s="71">
        <v>-532644.74</v>
      </c>
      <c r="D20" s="71">
        <v>25498231.790000003</v>
      </c>
      <c r="E20" s="71">
        <v>7296692.7800000003</v>
      </c>
      <c r="F20" s="71">
        <v>7295066.96</v>
      </c>
      <c r="G20" s="72">
        <f>D20-E20</f>
        <v>18201539.010000002</v>
      </c>
    </row>
    <row r="21" spans="1:7" x14ac:dyDescent="0.25">
      <c r="A21" s="63" t="s">
        <v>374</v>
      </c>
      <c r="B21" s="71">
        <v>188465741.87</v>
      </c>
      <c r="C21" s="71">
        <v>96125889.519999996</v>
      </c>
      <c r="D21" s="71">
        <v>284591631.38999999</v>
      </c>
      <c r="E21" s="71">
        <v>81586128.819999993</v>
      </c>
      <c r="F21" s="71">
        <v>81306075.659999996</v>
      </c>
      <c r="G21" s="72">
        <f t="shared" ref="G21:G26" si="4">D21-E21</f>
        <v>203005502.56999999</v>
      </c>
    </row>
    <row r="22" spans="1:7" x14ac:dyDescent="0.25">
      <c r="A22" s="63" t="s">
        <v>375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376</v>
      </c>
      <c r="B23" s="71">
        <v>22824776.640000001</v>
      </c>
      <c r="C23" s="71">
        <v>1055726.6499999999</v>
      </c>
      <c r="D23" s="71">
        <v>23880503.289999999</v>
      </c>
      <c r="E23" s="71">
        <v>9103270.8900000006</v>
      </c>
      <c r="F23" s="71">
        <v>9103270.8900000006</v>
      </c>
      <c r="G23" s="72">
        <f t="shared" si="4"/>
        <v>14777232.399999999</v>
      </c>
    </row>
    <row r="24" spans="1:7" x14ac:dyDescent="0.25">
      <c r="A24" s="63" t="s">
        <v>377</v>
      </c>
      <c r="B24" s="71">
        <v>17955710.120000001</v>
      </c>
      <c r="C24" s="71">
        <v>589413.94999999995</v>
      </c>
      <c r="D24" s="71">
        <v>18545124.07</v>
      </c>
      <c r="E24" s="71">
        <v>9637907.5199999996</v>
      </c>
      <c r="F24" s="71">
        <v>9633515.6500000004</v>
      </c>
      <c r="G24" s="72">
        <f t="shared" si="4"/>
        <v>8907216.5500000007</v>
      </c>
    </row>
    <row r="25" spans="1:7" x14ac:dyDescent="0.25">
      <c r="A25" s="63" t="s">
        <v>378</v>
      </c>
      <c r="B25" s="71">
        <v>27573363.829999998</v>
      </c>
      <c r="C25" s="71">
        <v>-58414.14</v>
      </c>
      <c r="D25" s="71">
        <v>27514949.689999998</v>
      </c>
      <c r="E25" s="71">
        <v>13575939.24</v>
      </c>
      <c r="F25" s="71">
        <v>13575186.98</v>
      </c>
      <c r="G25" s="72">
        <f t="shared" si="4"/>
        <v>13939010.449999997</v>
      </c>
    </row>
    <row r="26" spans="1:7" x14ac:dyDescent="0.25">
      <c r="A26" s="63" t="s">
        <v>379</v>
      </c>
      <c r="B26" s="71">
        <v>5154052.29</v>
      </c>
      <c r="C26" s="71">
        <v>0</v>
      </c>
      <c r="D26" s="71">
        <v>5154052.29</v>
      </c>
      <c r="E26" s="71">
        <v>3073136</v>
      </c>
      <c r="F26" s="71">
        <v>3073136</v>
      </c>
      <c r="G26" s="72">
        <f t="shared" si="4"/>
        <v>2080916.29</v>
      </c>
    </row>
    <row r="27" spans="1:7" x14ac:dyDescent="0.25">
      <c r="A27" s="53" t="s">
        <v>380</v>
      </c>
      <c r="B27" s="71">
        <f>SUM(B28:B36)</f>
        <v>89967140.059999987</v>
      </c>
      <c r="C27" s="71">
        <f t="shared" ref="C27:F27" si="5">SUM(C28:C36)</f>
        <v>1338516.8999999999</v>
      </c>
      <c r="D27" s="71">
        <f t="shared" si="5"/>
        <v>91305656.959999993</v>
      </c>
      <c r="E27" s="71">
        <f t="shared" si="5"/>
        <v>35998736.030000001</v>
      </c>
      <c r="F27" s="71">
        <f t="shared" si="5"/>
        <v>35929351.979999997</v>
      </c>
      <c r="G27" s="71">
        <f>SUM(G28:G36)</f>
        <v>55306920.93</v>
      </c>
    </row>
    <row r="28" spans="1:7" x14ac:dyDescent="0.25">
      <c r="A28" s="69" t="s">
        <v>381</v>
      </c>
      <c r="B28" s="71">
        <v>78734497.819999993</v>
      </c>
      <c r="C28" s="71">
        <v>-36483.1</v>
      </c>
      <c r="D28" s="71">
        <v>78698014.719999999</v>
      </c>
      <c r="E28" s="71">
        <v>30744914.93</v>
      </c>
      <c r="F28" s="71">
        <v>30675530.879999999</v>
      </c>
      <c r="G28" s="72">
        <f>D28-E28</f>
        <v>47953099.789999999</v>
      </c>
    </row>
    <row r="29" spans="1:7" x14ac:dyDescent="0.25">
      <c r="A29" s="63" t="s">
        <v>382</v>
      </c>
      <c r="B29" s="71"/>
      <c r="C29" s="71"/>
      <c r="D29" s="71">
        <v>0</v>
      </c>
      <c r="E29" s="71"/>
      <c r="F29" s="71"/>
      <c r="G29" s="72">
        <f t="shared" ref="G29:G36" si="6">D29-E29</f>
        <v>0</v>
      </c>
    </row>
    <row r="30" spans="1:7" x14ac:dyDescent="0.25">
      <c r="A30" s="63" t="s">
        <v>383</v>
      </c>
      <c r="B30" s="71"/>
      <c r="C30" s="71"/>
      <c r="D30" s="71">
        <v>0</v>
      </c>
      <c r="E30" s="71"/>
      <c r="F30" s="71"/>
      <c r="G30" s="72">
        <f t="shared" si="6"/>
        <v>0</v>
      </c>
    </row>
    <row r="31" spans="1:7" x14ac:dyDescent="0.25">
      <c r="A31" s="63" t="s">
        <v>384</v>
      </c>
      <c r="B31" s="71"/>
      <c r="C31" s="71"/>
      <c r="D31" s="71">
        <v>0</v>
      </c>
      <c r="E31" s="71"/>
      <c r="F31" s="71"/>
      <c r="G31" s="72">
        <f t="shared" si="6"/>
        <v>0</v>
      </c>
    </row>
    <row r="32" spans="1:7" x14ac:dyDescent="0.25">
      <c r="A32" s="63" t="s">
        <v>385</v>
      </c>
      <c r="B32" s="71"/>
      <c r="C32" s="71"/>
      <c r="D32" s="71">
        <v>0</v>
      </c>
      <c r="E32" s="71"/>
      <c r="F32" s="71"/>
      <c r="G32" s="72">
        <f t="shared" si="6"/>
        <v>0</v>
      </c>
    </row>
    <row r="33" spans="1:7" x14ac:dyDescent="0.25">
      <c r="A33" s="63" t="s">
        <v>386</v>
      </c>
      <c r="B33" s="71"/>
      <c r="C33" s="71"/>
      <c r="D33" s="71">
        <v>0</v>
      </c>
      <c r="E33" s="71"/>
      <c r="F33" s="71"/>
      <c r="G33" s="72">
        <f t="shared" si="6"/>
        <v>0</v>
      </c>
    </row>
    <row r="34" spans="1:7" x14ac:dyDescent="0.25">
      <c r="A34" s="63" t="s">
        <v>387</v>
      </c>
      <c r="B34" s="71">
        <v>6507642.2400000002</v>
      </c>
      <c r="C34" s="71">
        <v>400000</v>
      </c>
      <c r="D34" s="71">
        <v>6907642.2400000002</v>
      </c>
      <c r="E34" s="71">
        <v>5253821.0999999996</v>
      </c>
      <c r="F34" s="71">
        <v>5253821.0999999996</v>
      </c>
      <c r="G34" s="72">
        <f t="shared" si="6"/>
        <v>1653821.1400000006</v>
      </c>
    </row>
    <row r="35" spans="1:7" x14ac:dyDescent="0.25">
      <c r="A35" s="63" t="s">
        <v>388</v>
      </c>
      <c r="B35" s="71"/>
      <c r="C35" s="71"/>
      <c r="D35" s="71">
        <v>0</v>
      </c>
      <c r="E35" s="71"/>
      <c r="F35" s="71"/>
      <c r="G35" s="72">
        <f t="shared" si="6"/>
        <v>0</v>
      </c>
    </row>
    <row r="36" spans="1:7" x14ac:dyDescent="0.25">
      <c r="A36" s="63" t="s">
        <v>389</v>
      </c>
      <c r="B36" s="71">
        <v>4725000</v>
      </c>
      <c r="C36" s="71">
        <v>975000</v>
      </c>
      <c r="D36" s="71">
        <v>5700000</v>
      </c>
      <c r="E36" s="71">
        <v>0</v>
      </c>
      <c r="F36" s="71">
        <v>0</v>
      </c>
      <c r="G36" s="72">
        <f t="shared" si="6"/>
        <v>5700000</v>
      </c>
    </row>
    <row r="37" spans="1:7" ht="28.5" x14ac:dyDescent="0.45">
      <c r="A37" s="64" t="s">
        <v>397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390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391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392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393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394</v>
      </c>
      <c r="B43" s="73">
        <f>SUM(B44,B53,B61,B71)</f>
        <v>217181527</v>
      </c>
      <c r="C43" s="73">
        <f t="shared" ref="C43:G43" si="9">SUM(C44,C53,C61,C71)</f>
        <v>361980365.84000003</v>
      </c>
      <c r="D43" s="73">
        <f t="shared" si="9"/>
        <v>579161892.84000003</v>
      </c>
      <c r="E43" s="73">
        <f t="shared" si="9"/>
        <v>165696875.85999998</v>
      </c>
      <c r="F43" s="73">
        <f t="shared" si="9"/>
        <v>165471315.74999997</v>
      </c>
      <c r="G43" s="73">
        <f t="shared" si="9"/>
        <v>413465016.98000002</v>
      </c>
    </row>
    <row r="44" spans="1:7" x14ac:dyDescent="0.25">
      <c r="A44" s="53" t="s">
        <v>429</v>
      </c>
      <c r="B44" s="72">
        <f>SUM(B45:B52)</f>
        <v>77392867.010000005</v>
      </c>
      <c r="C44" s="72">
        <f t="shared" ref="C44:G44" si="10">SUM(C45:C52)</f>
        <v>19509122.859999999</v>
      </c>
      <c r="D44" s="72">
        <f t="shared" si="10"/>
        <v>96901989.870000005</v>
      </c>
      <c r="E44" s="72">
        <f t="shared" si="10"/>
        <v>33100854.890000001</v>
      </c>
      <c r="F44" s="72">
        <f t="shared" si="10"/>
        <v>33004087.940000001</v>
      </c>
      <c r="G44" s="72">
        <f t="shared" si="10"/>
        <v>63801134.980000004</v>
      </c>
    </row>
    <row r="45" spans="1:7" x14ac:dyDescent="0.25">
      <c r="A45" s="69" t="s">
        <v>364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365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366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367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368</v>
      </c>
      <c r="B49" s="72">
        <v>0</v>
      </c>
      <c r="C49" s="72">
        <v>92755.88</v>
      </c>
      <c r="D49" s="72">
        <v>92755.88</v>
      </c>
      <c r="E49" s="72">
        <v>0</v>
      </c>
      <c r="F49" s="72">
        <v>0</v>
      </c>
      <c r="G49" s="72">
        <f t="shared" si="11"/>
        <v>92755.88</v>
      </c>
    </row>
    <row r="50" spans="1:7" x14ac:dyDescent="0.25">
      <c r="A50" s="69" t="s">
        <v>369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370</v>
      </c>
      <c r="B51" s="72">
        <v>77392867.010000005</v>
      </c>
      <c r="C51" s="72">
        <v>13703366.890000001</v>
      </c>
      <c r="D51" s="72">
        <v>91096233.900000006</v>
      </c>
      <c r="E51" s="72">
        <v>33100854.890000001</v>
      </c>
      <c r="F51" s="72">
        <v>33004087.940000001</v>
      </c>
      <c r="G51" s="72">
        <f t="shared" si="11"/>
        <v>57995379.010000005</v>
      </c>
    </row>
    <row r="52" spans="1:7" x14ac:dyDescent="0.25">
      <c r="A52" s="69" t="s">
        <v>371</v>
      </c>
      <c r="B52" s="72">
        <v>0</v>
      </c>
      <c r="C52" s="72">
        <v>5713000.0899999999</v>
      </c>
      <c r="D52" s="72">
        <v>5713000.0899999999</v>
      </c>
      <c r="E52" s="72">
        <v>0</v>
      </c>
      <c r="F52" s="72">
        <v>0</v>
      </c>
      <c r="G52" s="72">
        <f t="shared" si="11"/>
        <v>5713000.0899999999</v>
      </c>
    </row>
    <row r="53" spans="1:7" x14ac:dyDescent="0.25">
      <c r="A53" s="53" t="s">
        <v>372</v>
      </c>
      <c r="B53" s="71">
        <f>SUM(B54:B60)</f>
        <v>125523578.11</v>
      </c>
      <c r="C53" s="71">
        <f t="shared" ref="C53:G53" si="12">SUM(C54:C60)</f>
        <v>339913217.37</v>
      </c>
      <c r="D53" s="71">
        <f t="shared" si="12"/>
        <v>465436795.48000002</v>
      </c>
      <c r="E53" s="71">
        <f t="shared" si="12"/>
        <v>124948996.29000001</v>
      </c>
      <c r="F53" s="71">
        <f t="shared" si="12"/>
        <v>124820203.13</v>
      </c>
      <c r="G53" s="71">
        <f t="shared" si="12"/>
        <v>340487799.19</v>
      </c>
    </row>
    <row r="54" spans="1:7" x14ac:dyDescent="0.25">
      <c r="A54" s="69" t="s">
        <v>373</v>
      </c>
      <c r="B54" s="71">
        <v>0</v>
      </c>
      <c r="C54" s="71">
        <v>26357855.129999999</v>
      </c>
      <c r="D54" s="71">
        <v>26357855.129999999</v>
      </c>
      <c r="E54" s="71">
        <v>10360495.15</v>
      </c>
      <c r="F54" s="71">
        <v>10360495.15</v>
      </c>
      <c r="G54" s="72">
        <f>D54-E54</f>
        <v>15997359.979999999</v>
      </c>
    </row>
    <row r="55" spans="1:7" x14ac:dyDescent="0.25">
      <c r="A55" s="69" t="s">
        <v>374</v>
      </c>
      <c r="B55" s="71">
        <v>125523578.11</v>
      </c>
      <c r="C55" s="71">
        <v>292253225.76999998</v>
      </c>
      <c r="D55" s="71">
        <v>417776803.88</v>
      </c>
      <c r="E55" s="71">
        <v>110727506.93000001</v>
      </c>
      <c r="F55" s="71">
        <v>110598713.77</v>
      </c>
      <c r="G55" s="72">
        <f t="shared" ref="G55:G60" si="13">D55-E55</f>
        <v>307049296.94999999</v>
      </c>
    </row>
    <row r="56" spans="1:7" x14ac:dyDescent="0.25">
      <c r="A56" s="69" t="s">
        <v>375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376</v>
      </c>
      <c r="B57" s="71">
        <v>0</v>
      </c>
      <c r="C57" s="71">
        <v>830.6</v>
      </c>
      <c r="D57" s="71">
        <v>830.6</v>
      </c>
      <c r="E57" s="71">
        <v>0</v>
      </c>
      <c r="F57" s="71">
        <v>0</v>
      </c>
      <c r="G57" s="72">
        <f t="shared" si="13"/>
        <v>830.6</v>
      </c>
    </row>
    <row r="58" spans="1:7" x14ac:dyDescent="0.25">
      <c r="A58" s="69" t="s">
        <v>377</v>
      </c>
      <c r="B58" s="71">
        <v>0</v>
      </c>
      <c r="C58" s="71">
        <v>13902156.93</v>
      </c>
      <c r="D58" s="71">
        <v>13902156.93</v>
      </c>
      <c r="E58" s="71">
        <v>3860994.21</v>
      </c>
      <c r="F58" s="71">
        <v>3860994.21</v>
      </c>
      <c r="G58" s="72">
        <f t="shared" si="13"/>
        <v>10041162.719999999</v>
      </c>
    </row>
    <row r="59" spans="1:7" x14ac:dyDescent="0.25">
      <c r="A59" s="69" t="s">
        <v>378</v>
      </c>
      <c r="B59" s="71">
        <v>0</v>
      </c>
      <c r="C59" s="71">
        <v>7399148.9400000004</v>
      </c>
      <c r="D59" s="71">
        <v>7399148.9400000004</v>
      </c>
      <c r="E59" s="71">
        <v>0</v>
      </c>
      <c r="F59" s="71">
        <v>0</v>
      </c>
      <c r="G59" s="72">
        <f t="shared" si="13"/>
        <v>7399148.9400000004</v>
      </c>
    </row>
    <row r="60" spans="1:7" x14ac:dyDescent="0.25">
      <c r="A60" s="69" t="s">
        <v>379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380</v>
      </c>
      <c r="B61" s="71">
        <f>SUM(B62:B70)</f>
        <v>4000000</v>
      </c>
      <c r="C61" s="71">
        <f t="shared" ref="C61:G61" si="14">SUM(C62:C70)</f>
        <v>2558025.61</v>
      </c>
      <c r="D61" s="71">
        <f t="shared" si="14"/>
        <v>6558025.6099999994</v>
      </c>
      <c r="E61" s="71">
        <f t="shared" si="14"/>
        <v>3327839.45</v>
      </c>
      <c r="F61" s="71">
        <f t="shared" si="14"/>
        <v>3327839.45</v>
      </c>
      <c r="G61" s="71">
        <f t="shared" si="14"/>
        <v>3230186.1599999992</v>
      </c>
    </row>
    <row r="62" spans="1:7" x14ac:dyDescent="0.25">
      <c r="A62" s="69" t="s">
        <v>381</v>
      </c>
      <c r="B62" s="71">
        <v>4000000</v>
      </c>
      <c r="C62" s="71">
        <v>2558025.61</v>
      </c>
      <c r="D62" s="71">
        <v>6558025.6099999994</v>
      </c>
      <c r="E62" s="71">
        <v>3327839.45</v>
      </c>
      <c r="F62" s="71">
        <v>3327839.45</v>
      </c>
      <c r="G62" s="72">
        <f>D62-E62</f>
        <v>3230186.1599999992</v>
      </c>
    </row>
    <row r="63" spans="1:7" x14ac:dyDescent="0.25">
      <c r="A63" s="69" t="s">
        <v>382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383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384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385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386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387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388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389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3298</v>
      </c>
      <c r="B71" s="74">
        <f>SUM(B72:B75)</f>
        <v>10265081.880000001</v>
      </c>
      <c r="C71" s="74">
        <f t="shared" ref="C71:F71" si="16">SUM(C72:C75)</f>
        <v>0</v>
      </c>
      <c r="D71" s="74">
        <f t="shared" si="16"/>
        <v>10265081.880000001</v>
      </c>
      <c r="E71" s="74">
        <f t="shared" si="16"/>
        <v>4319185.2300000004</v>
      </c>
      <c r="F71" s="74">
        <f t="shared" si="16"/>
        <v>4319185.2300000004</v>
      </c>
      <c r="G71" s="74">
        <f>SUM(G72:G75)</f>
        <v>5945896.6500000004</v>
      </c>
    </row>
    <row r="72" spans="1:8" x14ac:dyDescent="0.25">
      <c r="A72" s="69" t="s">
        <v>390</v>
      </c>
      <c r="B72" s="71">
        <v>10265081.880000001</v>
      </c>
      <c r="C72" s="71">
        <v>0</v>
      </c>
      <c r="D72" s="71">
        <v>10265081.880000001</v>
      </c>
      <c r="E72" s="71">
        <v>4319185.2300000004</v>
      </c>
      <c r="F72" s="71">
        <v>4319185.2300000004</v>
      </c>
      <c r="G72" s="72">
        <f>D72-E72</f>
        <v>5945896.6500000004</v>
      </c>
    </row>
    <row r="73" spans="1:8" ht="30" x14ac:dyDescent="0.25">
      <c r="A73" s="69" t="s">
        <v>391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392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393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359</v>
      </c>
      <c r="B77" s="73">
        <f>B43+B9</f>
        <v>766949850.64999998</v>
      </c>
      <c r="C77" s="73">
        <f t="shared" ref="C77:F77" si="18">C43+C9</f>
        <v>567227133.99000001</v>
      </c>
      <c r="D77" s="73">
        <f t="shared" si="18"/>
        <v>1334176984.6400001</v>
      </c>
      <c r="E77" s="73">
        <f t="shared" si="18"/>
        <v>400179321.02999997</v>
      </c>
      <c r="F77" s="73">
        <f t="shared" si="18"/>
        <v>399506530.73999995</v>
      </c>
      <c r="G77" s="73">
        <f>G43+G9</f>
        <v>933997663.6099999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549768323.64999998</v>
      </c>
      <c r="Q2" s="18">
        <f>'Formato 6 c)'!C9</f>
        <v>205246768.15000001</v>
      </c>
      <c r="R2" s="18">
        <f>'Formato 6 c)'!D9</f>
        <v>755015091.80000007</v>
      </c>
      <c r="S2" s="18">
        <f>'Formato 6 c)'!E9</f>
        <v>234482445.16999999</v>
      </c>
      <c r="T2" s="18">
        <f>'Formato 6 c)'!F9</f>
        <v>234035214.98999998</v>
      </c>
      <c r="U2" s="18">
        <f>'Formato 6 c)'!G9</f>
        <v>520532646.62999994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171796662.31</v>
      </c>
      <c r="Q3" s="18">
        <f>'Formato 6 c)'!C10</f>
        <v>106728280.01000001</v>
      </c>
      <c r="R3" s="18">
        <f>'Formato 6 c)'!D10</f>
        <v>278524942.31999999</v>
      </c>
      <c r="S3" s="18">
        <f>'Formato 6 c)'!E10</f>
        <v>74210633.890000001</v>
      </c>
      <c r="T3" s="18">
        <f>'Formato 6 c)'!F10</f>
        <v>74119610.870000005</v>
      </c>
      <c r="U3" s="18">
        <f>'Formato 6 c)'!G10</f>
        <v>204314308.42999995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21433082.780000001</v>
      </c>
      <c r="Q4" s="18">
        <f>'Formato 6 c)'!C11</f>
        <v>-13095.11</v>
      </c>
      <c r="R4" s="18">
        <f>'Formato 6 c)'!D11</f>
        <v>21419987.670000002</v>
      </c>
      <c r="S4" s="18">
        <f>'Formato 6 c)'!E11</f>
        <v>9468785.1300000008</v>
      </c>
      <c r="T4" s="18">
        <f>'Formato 6 c)'!F11</f>
        <v>9466885.1300000008</v>
      </c>
      <c r="U4" s="18">
        <f>'Formato 6 c)'!G11</f>
        <v>11951202.540000001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1082225.83</v>
      </c>
      <c r="Q5" s="18">
        <f>'Formato 6 c)'!C12</f>
        <v>0.73</v>
      </c>
      <c r="R5" s="18">
        <f>'Formato 6 c)'!D12</f>
        <v>1082226.56</v>
      </c>
      <c r="S5" s="18">
        <f>'Formato 6 c)'!E12</f>
        <v>490473.92</v>
      </c>
      <c r="T5" s="18">
        <f>'Formato 6 c)'!F12</f>
        <v>490473.92</v>
      </c>
      <c r="U5" s="18">
        <f>'Formato 6 c)'!G12</f>
        <v>591752.64000000013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56588043.670000002</v>
      </c>
      <c r="Q6" s="18">
        <f>'Formato 6 c)'!C13</f>
        <v>5464618.5199999996</v>
      </c>
      <c r="R6" s="18">
        <f>'Formato 6 c)'!D13</f>
        <v>62052662.189999998</v>
      </c>
      <c r="S6" s="18">
        <f>'Formato 6 c)'!E13</f>
        <v>28152094.699999999</v>
      </c>
      <c r="T6" s="18">
        <f>'Formato 6 c)'!F13</f>
        <v>28118317.280000001</v>
      </c>
      <c r="U6" s="18">
        <f>'Formato 6 c)'!G13</f>
        <v>33900567.489999995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72608024.670000002</v>
      </c>
      <c r="Q8" s="18">
        <f>'Formato 6 c)'!C15</f>
        <v>98718684.780000001</v>
      </c>
      <c r="R8" s="18">
        <f>'Formato 6 c)'!D15</f>
        <v>171326709.44999999</v>
      </c>
      <c r="S8" s="18">
        <f>'Formato 6 c)'!E15</f>
        <v>27075447.609999999</v>
      </c>
      <c r="T8" s="18">
        <f>'Formato 6 c)'!F15</f>
        <v>27027510.030000001</v>
      </c>
      <c r="U8" s="18">
        <f>'Formato 6 c)'!G15</f>
        <v>144251261.83999997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20085285.359999999</v>
      </c>
      <c r="Q10" s="18">
        <f>'Formato 6 c)'!C17</f>
        <v>2558071.09</v>
      </c>
      <c r="R10" s="18">
        <f>'Formato 6 c)'!D17</f>
        <v>22643356.449999999</v>
      </c>
      <c r="S10" s="18">
        <f>'Formato 6 c)'!E17</f>
        <v>9023832.5299999993</v>
      </c>
      <c r="T10" s="18">
        <f>'Formato 6 c)'!F17</f>
        <v>9016424.5099999998</v>
      </c>
      <c r="U10" s="18">
        <f>'Formato 6 c)'!G17</f>
        <v>13619523.92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288004521.28000003</v>
      </c>
      <c r="Q12" s="18">
        <f>'Formato 6 c)'!C19</f>
        <v>97179971.24000001</v>
      </c>
      <c r="R12" s="18">
        <f>'Formato 6 c)'!D19</f>
        <v>385184492.52000004</v>
      </c>
      <c r="S12" s="18">
        <f>'Formato 6 c)'!E19</f>
        <v>124273075.24999999</v>
      </c>
      <c r="T12" s="18">
        <f>'Formato 6 c)'!F19</f>
        <v>123986252.14</v>
      </c>
      <c r="U12" s="18">
        <f>'Formato 6 c)'!G19</f>
        <v>260911417.26999998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26030876.530000001</v>
      </c>
      <c r="Q13" s="18">
        <f>'Formato 6 c)'!C20</f>
        <v>-532644.74</v>
      </c>
      <c r="R13" s="18">
        <f>'Formato 6 c)'!D20</f>
        <v>25498231.790000003</v>
      </c>
      <c r="S13" s="18">
        <f>'Formato 6 c)'!E20</f>
        <v>7296692.7800000003</v>
      </c>
      <c r="T13" s="18">
        <f>'Formato 6 c)'!F20</f>
        <v>7295066.96</v>
      </c>
      <c r="U13" s="18">
        <f>'Formato 6 c)'!G20</f>
        <v>18201539.010000002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188465741.87</v>
      </c>
      <c r="Q14" s="18">
        <f>'Formato 6 c)'!C21</f>
        <v>96125889.519999996</v>
      </c>
      <c r="R14" s="18">
        <f>'Formato 6 c)'!D21</f>
        <v>284591631.38999999</v>
      </c>
      <c r="S14" s="18">
        <f>'Formato 6 c)'!E21</f>
        <v>81586128.819999993</v>
      </c>
      <c r="T14" s="18">
        <f>'Formato 6 c)'!F21</f>
        <v>81306075.659999996</v>
      </c>
      <c r="U14" s="18">
        <f>'Formato 6 c)'!G21</f>
        <v>203005502.56999999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22824776.640000001</v>
      </c>
      <c r="Q16" s="18">
        <f>'Formato 6 c)'!C23</f>
        <v>1055726.6499999999</v>
      </c>
      <c r="R16" s="18">
        <f>'Formato 6 c)'!D23</f>
        <v>23880503.289999999</v>
      </c>
      <c r="S16" s="18">
        <f>'Formato 6 c)'!E23</f>
        <v>9103270.8900000006</v>
      </c>
      <c r="T16" s="18">
        <f>'Formato 6 c)'!F23</f>
        <v>9103270.8900000006</v>
      </c>
      <c r="U16" s="18">
        <f>'Formato 6 c)'!G23</f>
        <v>14777232.399999999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17955710.120000001</v>
      </c>
      <c r="Q17" s="18">
        <f>'Formato 6 c)'!C24</f>
        <v>589413.94999999995</v>
      </c>
      <c r="R17" s="18">
        <f>'Formato 6 c)'!D24</f>
        <v>18545124.07</v>
      </c>
      <c r="S17" s="18">
        <f>'Formato 6 c)'!E24</f>
        <v>9637907.5199999996</v>
      </c>
      <c r="T17" s="18">
        <f>'Formato 6 c)'!F24</f>
        <v>9633515.6500000004</v>
      </c>
      <c r="U17" s="18">
        <f>'Formato 6 c)'!G24</f>
        <v>8907216.5500000007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27573363.829999998</v>
      </c>
      <c r="Q18" s="18">
        <f>'Formato 6 c)'!C25</f>
        <v>-58414.14</v>
      </c>
      <c r="R18" s="18">
        <f>'Formato 6 c)'!D25</f>
        <v>27514949.689999998</v>
      </c>
      <c r="S18" s="18">
        <f>'Formato 6 c)'!E25</f>
        <v>13575939.24</v>
      </c>
      <c r="T18" s="18">
        <f>'Formato 6 c)'!F25</f>
        <v>13575186.98</v>
      </c>
      <c r="U18" s="18">
        <f>'Formato 6 c)'!G25</f>
        <v>13939010.449999997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5154052.29</v>
      </c>
      <c r="Q19" s="18">
        <f>'Formato 6 c)'!C26</f>
        <v>0</v>
      </c>
      <c r="R19" s="18">
        <f>'Formato 6 c)'!D26</f>
        <v>5154052.29</v>
      </c>
      <c r="S19" s="18">
        <f>'Formato 6 c)'!E26</f>
        <v>3073136</v>
      </c>
      <c r="T19" s="18">
        <f>'Formato 6 c)'!F26</f>
        <v>3073136</v>
      </c>
      <c r="U19" s="18">
        <f>'Formato 6 c)'!G26</f>
        <v>2080916.29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89967140.059999987</v>
      </c>
      <c r="Q20" s="18">
        <f>'Formato 6 c)'!C27</f>
        <v>1338516.8999999999</v>
      </c>
      <c r="R20" s="18">
        <f>'Formato 6 c)'!D27</f>
        <v>91305656.959999993</v>
      </c>
      <c r="S20" s="18">
        <f>'Formato 6 c)'!E27</f>
        <v>35998736.030000001</v>
      </c>
      <c r="T20" s="18">
        <f>'Formato 6 c)'!F27</f>
        <v>35929351.979999997</v>
      </c>
      <c r="U20" s="18">
        <f>'Formato 6 c)'!G27</f>
        <v>55306920.93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78734497.819999993</v>
      </c>
      <c r="Q21" s="18">
        <f>'Formato 6 c)'!C28</f>
        <v>-36483.1</v>
      </c>
      <c r="R21" s="18">
        <f>'Formato 6 c)'!D28</f>
        <v>78698014.719999999</v>
      </c>
      <c r="S21" s="18">
        <f>'Formato 6 c)'!E28</f>
        <v>30744914.93</v>
      </c>
      <c r="T21" s="18">
        <f>'Formato 6 c)'!F28</f>
        <v>30675530.879999999</v>
      </c>
      <c r="U21" s="18">
        <f>'Formato 6 c)'!G28</f>
        <v>47953099.789999999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6507642.2400000002</v>
      </c>
      <c r="Q27" s="18">
        <f>'Formato 6 c)'!C34</f>
        <v>400000</v>
      </c>
      <c r="R27" s="18">
        <f>'Formato 6 c)'!D34</f>
        <v>6907642.2400000002</v>
      </c>
      <c r="S27" s="18">
        <f>'Formato 6 c)'!E34</f>
        <v>5253821.0999999996</v>
      </c>
      <c r="T27" s="18">
        <f>'Formato 6 c)'!F34</f>
        <v>5253821.0999999996</v>
      </c>
      <c r="U27" s="18">
        <f>'Formato 6 c)'!G34</f>
        <v>1653821.1400000006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4725000</v>
      </c>
      <c r="Q29" s="18">
        <f>'Formato 6 c)'!C36</f>
        <v>975000</v>
      </c>
      <c r="R29" s="18">
        <f>'Formato 6 c)'!D36</f>
        <v>5700000</v>
      </c>
      <c r="S29" s="18">
        <f>'Formato 6 c)'!E36</f>
        <v>0</v>
      </c>
      <c r="T29" s="18">
        <f>'Formato 6 c)'!F36</f>
        <v>0</v>
      </c>
      <c r="U29" s="18">
        <f>'Formato 6 c)'!G36</f>
        <v>5700000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217181527</v>
      </c>
      <c r="Q35" s="18">
        <f>'Formato 6 c)'!C43</f>
        <v>361980365.84000003</v>
      </c>
      <c r="R35" s="18">
        <f>'Formato 6 c)'!D43</f>
        <v>579161892.84000003</v>
      </c>
      <c r="S35" s="18">
        <f>'Formato 6 c)'!E43</f>
        <v>165696875.85999998</v>
      </c>
      <c r="T35" s="18">
        <f>'Formato 6 c)'!F43</f>
        <v>165471315.74999997</v>
      </c>
      <c r="U35" s="18">
        <f>'Formato 6 c)'!G43</f>
        <v>413465016.98000002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77392867.010000005</v>
      </c>
      <c r="Q36" s="18">
        <f>'Formato 6 c)'!C44</f>
        <v>19509122.859999999</v>
      </c>
      <c r="R36" s="18">
        <f>'Formato 6 c)'!D44</f>
        <v>96901989.870000005</v>
      </c>
      <c r="S36" s="18">
        <f>'Formato 6 c)'!E44</f>
        <v>33100854.890000001</v>
      </c>
      <c r="T36" s="18">
        <f>'Formato 6 c)'!F44</f>
        <v>33004087.940000001</v>
      </c>
      <c r="U36" s="18">
        <f>'Formato 6 c)'!G44</f>
        <v>63801134.980000004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92755.88</v>
      </c>
      <c r="R41" s="18">
        <f>'Formato 6 c)'!D49</f>
        <v>92755.88</v>
      </c>
      <c r="S41" s="18">
        <f>'Formato 6 c)'!E49</f>
        <v>0</v>
      </c>
      <c r="T41" s="18">
        <f>'Formato 6 c)'!F49</f>
        <v>0</v>
      </c>
      <c r="U41" s="18">
        <f>'Formato 6 c)'!G49</f>
        <v>92755.88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77392867.010000005</v>
      </c>
      <c r="Q43" s="18">
        <f>'Formato 6 c)'!C51</f>
        <v>13703366.890000001</v>
      </c>
      <c r="R43" s="18">
        <f>'Formato 6 c)'!D51</f>
        <v>91096233.900000006</v>
      </c>
      <c r="S43" s="18">
        <f>'Formato 6 c)'!E51</f>
        <v>33100854.890000001</v>
      </c>
      <c r="T43" s="18">
        <f>'Formato 6 c)'!F51</f>
        <v>33004087.940000001</v>
      </c>
      <c r="U43" s="18">
        <f>'Formato 6 c)'!G51</f>
        <v>57995379.010000005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5713000.0899999999</v>
      </c>
      <c r="R44" s="18">
        <f>'Formato 6 c)'!D52</f>
        <v>5713000.0899999999</v>
      </c>
      <c r="S44" s="18">
        <f>'Formato 6 c)'!E52</f>
        <v>0</v>
      </c>
      <c r="T44" s="18">
        <f>'Formato 6 c)'!F52</f>
        <v>0</v>
      </c>
      <c r="U44" s="18">
        <f>'Formato 6 c)'!G52</f>
        <v>5713000.0899999999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125523578.11</v>
      </c>
      <c r="Q45" s="18">
        <f>'Formato 6 c)'!C53</f>
        <v>339913217.37</v>
      </c>
      <c r="R45" s="18">
        <f>'Formato 6 c)'!D53</f>
        <v>465436795.48000002</v>
      </c>
      <c r="S45" s="18">
        <f>'Formato 6 c)'!E53</f>
        <v>124948996.29000001</v>
      </c>
      <c r="T45" s="18">
        <f>'Formato 6 c)'!F53</f>
        <v>124820203.13</v>
      </c>
      <c r="U45" s="18">
        <f>'Formato 6 c)'!G53</f>
        <v>340487799.19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26357855.129999999</v>
      </c>
      <c r="R46" s="18">
        <f>'Formato 6 c)'!D54</f>
        <v>26357855.129999999</v>
      </c>
      <c r="S46" s="18">
        <f>'Formato 6 c)'!E54</f>
        <v>10360495.15</v>
      </c>
      <c r="T46" s="18">
        <f>'Formato 6 c)'!F54</f>
        <v>10360495.15</v>
      </c>
      <c r="U46" s="18">
        <f>'Formato 6 c)'!G54</f>
        <v>15997359.979999999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125523578.11</v>
      </c>
      <c r="Q47" s="18">
        <f>'Formato 6 c)'!C55</f>
        <v>292253225.76999998</v>
      </c>
      <c r="R47" s="18">
        <f>'Formato 6 c)'!D55</f>
        <v>417776803.88</v>
      </c>
      <c r="S47" s="18">
        <f>'Formato 6 c)'!E55</f>
        <v>110727506.93000001</v>
      </c>
      <c r="T47" s="18">
        <f>'Formato 6 c)'!F55</f>
        <v>110598713.77</v>
      </c>
      <c r="U47" s="18">
        <f>'Formato 6 c)'!G55</f>
        <v>307049296.94999999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830.6</v>
      </c>
      <c r="R49" s="18">
        <f>'Formato 6 c)'!D57</f>
        <v>830.6</v>
      </c>
      <c r="S49" s="18">
        <f>'Formato 6 c)'!E57</f>
        <v>0</v>
      </c>
      <c r="T49" s="18">
        <f>'Formato 6 c)'!F57</f>
        <v>0</v>
      </c>
      <c r="U49" s="18">
        <f>'Formato 6 c)'!G57</f>
        <v>830.6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0</v>
      </c>
      <c r="Q50" s="18">
        <f>'Formato 6 c)'!C58</f>
        <v>13902156.93</v>
      </c>
      <c r="R50" s="18">
        <f>'Formato 6 c)'!D58</f>
        <v>13902156.93</v>
      </c>
      <c r="S50" s="18">
        <f>'Formato 6 c)'!E58</f>
        <v>3860994.21</v>
      </c>
      <c r="T50" s="18">
        <f>'Formato 6 c)'!F58</f>
        <v>3860994.21</v>
      </c>
      <c r="U50" s="18">
        <f>'Formato 6 c)'!G58</f>
        <v>10041162.719999999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7399148.9400000004</v>
      </c>
      <c r="R51" s="18">
        <f>'Formato 6 c)'!D59</f>
        <v>7399148.9400000004</v>
      </c>
      <c r="S51" s="18">
        <f>'Formato 6 c)'!E59</f>
        <v>0</v>
      </c>
      <c r="T51" s="18">
        <f>'Formato 6 c)'!F59</f>
        <v>0</v>
      </c>
      <c r="U51" s="18">
        <f>'Formato 6 c)'!G59</f>
        <v>7399148.9400000004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4000000</v>
      </c>
      <c r="Q53" s="18">
        <f>'Formato 6 c)'!C61</f>
        <v>2558025.61</v>
      </c>
      <c r="R53" s="18">
        <f>'Formato 6 c)'!D61</f>
        <v>6558025.6099999994</v>
      </c>
      <c r="S53" s="18">
        <f>'Formato 6 c)'!E61</f>
        <v>3327839.45</v>
      </c>
      <c r="T53" s="18">
        <f>'Formato 6 c)'!F61</f>
        <v>3327839.45</v>
      </c>
      <c r="U53" s="18">
        <f>'Formato 6 c)'!G61</f>
        <v>3230186.1599999992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4000000</v>
      </c>
      <c r="Q54" s="18">
        <f>'Formato 6 c)'!C62</f>
        <v>2558025.61</v>
      </c>
      <c r="R54" s="18">
        <f>'Formato 6 c)'!D62</f>
        <v>6558025.6099999994</v>
      </c>
      <c r="S54" s="18">
        <f>'Formato 6 c)'!E62</f>
        <v>3327839.45</v>
      </c>
      <c r="T54" s="18">
        <f>'Formato 6 c)'!F62</f>
        <v>3327839.45</v>
      </c>
      <c r="U54" s="18">
        <f>'Formato 6 c)'!G62</f>
        <v>3230186.1599999992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10265081.880000001</v>
      </c>
      <c r="Q63" s="18">
        <f>'Formato 6 c)'!C71</f>
        <v>0</v>
      </c>
      <c r="R63" s="18">
        <f>'Formato 6 c)'!D71</f>
        <v>10265081.880000001</v>
      </c>
      <c r="S63" s="18">
        <f>'Formato 6 c)'!E71</f>
        <v>4319185.2300000004</v>
      </c>
      <c r="T63" s="18">
        <f>'Formato 6 c)'!F71</f>
        <v>4319185.2300000004</v>
      </c>
      <c r="U63" s="18">
        <f>'Formato 6 c)'!G71</f>
        <v>5945896.6500000004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10265081.880000001</v>
      </c>
      <c r="Q64" s="18">
        <f>'Formato 6 c)'!C72</f>
        <v>0</v>
      </c>
      <c r="R64" s="18">
        <f>'Formato 6 c)'!D72</f>
        <v>10265081.880000001</v>
      </c>
      <c r="S64" s="18">
        <f>'Formato 6 c)'!E72</f>
        <v>4319185.2300000004</v>
      </c>
      <c r="T64" s="18">
        <f>'Formato 6 c)'!F72</f>
        <v>4319185.2300000004</v>
      </c>
      <c r="U64" s="18">
        <f>'Formato 6 c)'!G72</f>
        <v>5945896.6500000004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766949850.64999998</v>
      </c>
      <c r="Q68" s="18">
        <f>'Formato 6 c)'!C77</f>
        <v>567227133.99000001</v>
      </c>
      <c r="R68" s="18">
        <f>'Formato 6 c)'!D77</f>
        <v>1334176984.6400001</v>
      </c>
      <c r="S68" s="18">
        <f>'Formato 6 c)'!E77</f>
        <v>400179321.02999997</v>
      </c>
      <c r="T68" s="18">
        <f>'Formato 6 c)'!F77</f>
        <v>399506530.73999995</v>
      </c>
      <c r="U68" s="18">
        <f>'Formato 6 c)'!G77</f>
        <v>933997663.6099999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 MIGUEL DE ALLENDE, Gobierno del Estado de Guanajuato</v>
      </c>
    </row>
    <row r="7" spans="2:3" ht="14.25" x14ac:dyDescent="0.45">
      <c r="C7" t="str">
        <f>CONCATENATE(ENTE_PUBLICO," (a)")</f>
        <v>MUNICIPIO DE SAN MIGUEL DE ALLENDE, Gobierno del Estado de Guanajuato (a)</v>
      </c>
    </row>
    <row r="8" spans="2:3" ht="27" customHeight="1" x14ac:dyDescent="0.45">
      <c r="B8" t="s">
        <v>794</v>
      </c>
      <c r="C8" s="24" t="s">
        <v>806</v>
      </c>
    </row>
    <row r="10" spans="2:3" ht="25.5" customHeight="1" x14ac:dyDescent="0.45">
      <c r="B10" t="s">
        <v>795</v>
      </c>
      <c r="C10" s="24" t="s">
        <v>1159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793</v>
      </c>
      <c r="C12" s="24">
        <v>2018</v>
      </c>
    </row>
    <row r="14" spans="2:3" ht="14.25" x14ac:dyDescent="0.45">
      <c r="B14" t="s">
        <v>792</v>
      </c>
      <c r="C14" s="24" t="s">
        <v>3302</v>
      </c>
    </row>
    <row r="15" spans="2:3" ht="14.25" x14ac:dyDescent="0.45">
      <c r="C15" s="24">
        <v>2</v>
      </c>
    </row>
    <row r="16" spans="2:3" ht="14.25" x14ac:dyDescent="0.45">
      <c r="C16" s="24" t="s">
        <v>3303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3142</v>
      </c>
      <c r="E29" t="s">
        <v>3143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3144</v>
      </c>
      <c r="E32" t="s">
        <v>3145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27" sqref="G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5" t="s">
        <v>3286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62" t="s">
        <v>276</v>
      </c>
      <c r="B3" s="163"/>
      <c r="C3" s="163"/>
      <c r="D3" s="163"/>
      <c r="E3" s="163"/>
      <c r="F3" s="163"/>
      <c r="G3" s="164"/>
    </row>
    <row r="4" spans="1:7" x14ac:dyDescent="0.25">
      <c r="A4" s="162" t="s">
        <v>398</v>
      </c>
      <c r="B4" s="163"/>
      <c r="C4" s="163"/>
      <c r="D4" s="163"/>
      <c r="E4" s="163"/>
      <c r="F4" s="163"/>
      <c r="G4" s="164"/>
    </row>
    <row r="5" spans="1:7" ht="14.25" x14ac:dyDescent="0.45">
      <c r="A5" s="162" t="str">
        <f>TRIMESTRE</f>
        <v>Del 1 de enero al 30 de junio de 2018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360</v>
      </c>
      <c r="B7" s="176" t="s">
        <v>278</v>
      </c>
      <c r="C7" s="176"/>
      <c r="D7" s="176"/>
      <c r="E7" s="176"/>
      <c r="F7" s="176"/>
      <c r="G7" s="176" t="s">
        <v>279</v>
      </c>
    </row>
    <row r="8" spans="1:7" ht="29.25" customHeight="1" x14ac:dyDescent="0.25">
      <c r="A8" s="172"/>
      <c r="B8" s="45" t="s">
        <v>280</v>
      </c>
      <c r="C8" s="50" t="s">
        <v>361</v>
      </c>
      <c r="D8" s="50" t="s">
        <v>211</v>
      </c>
      <c r="E8" s="50" t="s">
        <v>166</v>
      </c>
      <c r="F8" s="50" t="s">
        <v>184</v>
      </c>
      <c r="G8" s="183"/>
    </row>
    <row r="9" spans="1:7" ht="14.25" x14ac:dyDescent="0.45">
      <c r="A9" s="52" t="s">
        <v>399</v>
      </c>
      <c r="B9" s="66">
        <f>SUM(B10,B11,B12,B15,B16,B19)</f>
        <v>137478099.27000001</v>
      </c>
      <c r="C9" s="66">
        <f t="shared" ref="C9:F9" si="0">SUM(C10,C11,C12,C15,C16,C19)</f>
        <v>-3765663.06</v>
      </c>
      <c r="D9" s="66">
        <f t="shared" si="0"/>
        <v>133712436.21000001</v>
      </c>
      <c r="E9" s="66">
        <f t="shared" si="0"/>
        <v>64679420.399999999</v>
      </c>
      <c r="F9" s="66">
        <f t="shared" si="0"/>
        <v>64679420.399999999</v>
      </c>
      <c r="G9" s="66">
        <f>SUM(G10,G11,G12,G15,G16,G19)</f>
        <v>69033015.810000002</v>
      </c>
    </row>
    <row r="10" spans="1:7" x14ac:dyDescent="0.25">
      <c r="A10" s="53" t="s">
        <v>400</v>
      </c>
      <c r="B10" s="67">
        <v>137478099.27000001</v>
      </c>
      <c r="C10" s="67">
        <v>-3765663.06</v>
      </c>
      <c r="D10" s="67">
        <v>133712436.21000001</v>
      </c>
      <c r="E10" s="67">
        <v>64679420.399999999</v>
      </c>
      <c r="F10" s="67">
        <v>64679420.399999999</v>
      </c>
      <c r="G10" s="67">
        <f>D10-E10</f>
        <v>69033015.810000002</v>
      </c>
    </row>
    <row r="11" spans="1:7" ht="14.25" x14ac:dyDescent="0.45">
      <c r="A11" s="53" t="s">
        <v>401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402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406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407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408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409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410</v>
      </c>
      <c r="B21" s="66">
        <f>SUM(B22,B23,B24,B27,B28,B31)</f>
        <v>69234030.969999999</v>
      </c>
      <c r="C21" s="66">
        <f t="shared" ref="C21:F21" si="4">SUM(C22,C23,C24,C27,C28,C31)</f>
        <v>3427679.85</v>
      </c>
      <c r="D21" s="66">
        <f t="shared" si="4"/>
        <v>72661710.819999993</v>
      </c>
      <c r="E21" s="66">
        <f t="shared" si="4"/>
        <v>29734004.550000001</v>
      </c>
      <c r="F21" s="66">
        <f t="shared" si="4"/>
        <v>29734004.550000001</v>
      </c>
      <c r="G21" s="66">
        <f>SUM(G22,G23,G24,G27,G28,G31)</f>
        <v>42927706.269999996</v>
      </c>
    </row>
    <row r="22" spans="1:7" s="24" customFormat="1" x14ac:dyDescent="0.25">
      <c r="A22" s="53" t="s">
        <v>400</v>
      </c>
      <c r="B22" s="149">
        <v>69234030.969999999</v>
      </c>
      <c r="C22" s="149">
        <v>3427679.85</v>
      </c>
      <c r="D22" s="151">
        <f t="shared" ref="D22" si="5">B22+C22</f>
        <v>72661710.819999993</v>
      </c>
      <c r="E22" s="149">
        <v>29734004.550000001</v>
      </c>
      <c r="F22" s="149">
        <v>29734004.550000001</v>
      </c>
      <c r="G22" s="67">
        <f>D22-E22</f>
        <v>42927706.269999996</v>
      </c>
    </row>
    <row r="23" spans="1:7" s="24" customFormat="1" ht="14.25" x14ac:dyDescent="0.45">
      <c r="A23" s="53" t="s">
        <v>401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402</v>
      </c>
      <c r="B24" s="67">
        <f>B25+B26</f>
        <v>0</v>
      </c>
      <c r="C24" s="67">
        <f t="shared" ref="C24:G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</row>
    <row r="25" spans="1:7" s="24" customFormat="1" ht="14.25" x14ac:dyDescent="0.45">
      <c r="A25" s="63" t="s">
        <v>403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7">D26-E26</f>
        <v>0</v>
      </c>
    </row>
    <row r="27" spans="1:7" s="24" customFormat="1" x14ac:dyDescent="0.25">
      <c r="A27" s="53" t="s">
        <v>405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7"/>
        <v>0</v>
      </c>
    </row>
    <row r="28" spans="1:7" s="24" customFormat="1" x14ac:dyDescent="0.25">
      <c r="A28" s="64" t="s">
        <v>406</v>
      </c>
      <c r="B28" s="67">
        <f>B29+B30</f>
        <v>0</v>
      </c>
      <c r="C28" s="67">
        <f t="shared" ref="C28:G28" si="8">C29+C30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0</v>
      </c>
    </row>
    <row r="29" spans="1:7" s="24" customFormat="1" ht="14.25" x14ac:dyDescent="0.45">
      <c r="A29" s="63" t="s">
        <v>407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9">D30-E30</f>
        <v>0</v>
      </c>
    </row>
    <row r="31" spans="1:7" s="24" customFormat="1" ht="14.25" x14ac:dyDescent="0.45">
      <c r="A31" s="53" t="s">
        <v>409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9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411</v>
      </c>
      <c r="B33" s="66">
        <f>B21+B9</f>
        <v>206712130.24000001</v>
      </c>
      <c r="C33" s="66">
        <f t="shared" ref="C33:G33" si="10">C21+C9</f>
        <v>-337983.20999999996</v>
      </c>
      <c r="D33" s="66">
        <f t="shared" si="10"/>
        <v>206374147.03</v>
      </c>
      <c r="E33" s="66">
        <f t="shared" si="10"/>
        <v>94413424.950000003</v>
      </c>
      <c r="F33" s="66">
        <f t="shared" si="10"/>
        <v>94413424.950000003</v>
      </c>
      <c r="G33" s="66">
        <f t="shared" si="10"/>
        <v>111960722.08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137478099.27000001</v>
      </c>
      <c r="Q2" s="18">
        <f>'Formato 6 d)'!C9</f>
        <v>-3765663.06</v>
      </c>
      <c r="R2" s="18">
        <f>'Formato 6 d)'!D9</f>
        <v>133712436.21000001</v>
      </c>
      <c r="S2" s="18">
        <f>'Formato 6 d)'!E9</f>
        <v>64679420.399999999</v>
      </c>
      <c r="T2" s="18">
        <f>'Formato 6 d)'!F9</f>
        <v>64679420.399999999</v>
      </c>
      <c r="U2" s="18">
        <f>'Formato 6 d)'!G9</f>
        <v>69033015.810000002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137478099.27000001</v>
      </c>
      <c r="Q3" s="18">
        <f>'Formato 6 d)'!C10</f>
        <v>-3765663.06</v>
      </c>
      <c r="R3" s="18">
        <f>'Formato 6 d)'!D10</f>
        <v>133712436.21000001</v>
      </c>
      <c r="S3" s="18">
        <f>'Formato 6 d)'!E10</f>
        <v>64679420.399999999</v>
      </c>
      <c r="T3" s="18">
        <f>'Formato 6 d)'!F10</f>
        <v>64679420.399999999</v>
      </c>
      <c r="U3" s="18">
        <f>'Formato 6 d)'!G10</f>
        <v>69033015.810000002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69234030.969999999</v>
      </c>
      <c r="Q13" s="18">
        <f>'Formato 6 d)'!C21</f>
        <v>3427679.85</v>
      </c>
      <c r="R13" s="18">
        <f>'Formato 6 d)'!D21</f>
        <v>72661710.819999993</v>
      </c>
      <c r="S13" s="18">
        <f>'Formato 6 d)'!E21</f>
        <v>29734004.550000001</v>
      </c>
      <c r="T13" s="18">
        <f>'Formato 6 d)'!F21</f>
        <v>29734004.550000001</v>
      </c>
      <c r="U13" s="18">
        <f>'Formato 6 d)'!G21</f>
        <v>42927706.269999996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69234030.969999999</v>
      </c>
      <c r="Q14" s="18">
        <f>'Formato 6 d)'!C22</f>
        <v>3427679.85</v>
      </c>
      <c r="R14" s="18">
        <f>'Formato 6 d)'!D22</f>
        <v>72661710.819999993</v>
      </c>
      <c r="S14" s="18">
        <f>'Formato 6 d)'!E22</f>
        <v>29734004.550000001</v>
      </c>
      <c r="T14" s="18">
        <f>'Formato 6 d)'!F22</f>
        <v>29734004.550000001</v>
      </c>
      <c r="U14" s="18">
        <f>'Formato 6 d)'!G22</f>
        <v>42927706.269999996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206712130.24000001</v>
      </c>
      <c r="Q24" s="18">
        <f>'Formato 6 d)'!C33</f>
        <v>-337983.20999999996</v>
      </c>
      <c r="R24" s="18">
        <f>'Formato 6 d)'!D33</f>
        <v>206374147.03</v>
      </c>
      <c r="S24" s="18">
        <f>'Formato 6 d)'!E33</f>
        <v>94413424.950000003</v>
      </c>
      <c r="T24" s="18">
        <f>'Formato 6 d)'!F33</f>
        <v>94413424.950000003</v>
      </c>
      <c r="U24" s="18">
        <f>'Formato 6 d)'!G33</f>
        <v>111960722.08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4" t="s">
        <v>412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San Miguel de Allende,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413</v>
      </c>
      <c r="B3" s="160"/>
      <c r="C3" s="160"/>
      <c r="D3" s="160"/>
      <c r="E3" s="160"/>
      <c r="F3" s="160"/>
      <c r="G3" s="161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ht="14.25" x14ac:dyDescent="0.45">
      <c r="A5" s="159" t="s">
        <v>414</v>
      </c>
      <c r="B5" s="160"/>
      <c r="C5" s="160"/>
      <c r="D5" s="160"/>
      <c r="E5" s="160"/>
      <c r="F5" s="160"/>
      <c r="G5" s="161"/>
    </row>
    <row r="6" spans="1:7" x14ac:dyDescent="0.25">
      <c r="A6" s="171" t="s">
        <v>3287</v>
      </c>
      <c r="B6" s="51">
        <f>ANIO1P</f>
        <v>2019</v>
      </c>
      <c r="C6" s="184" t="str">
        <f>ANIO2P</f>
        <v>2020 (d)</v>
      </c>
      <c r="D6" s="184" t="str">
        <f>ANIO3P</f>
        <v>2021 (d)</v>
      </c>
      <c r="E6" s="184" t="str">
        <f>ANIO4P</f>
        <v>2022 (d)</v>
      </c>
      <c r="F6" s="184" t="str">
        <f>ANIO5P</f>
        <v>2023 (d)</v>
      </c>
      <c r="G6" s="184" t="str">
        <f>ANIO6P</f>
        <v>2024 (d)</v>
      </c>
    </row>
    <row r="7" spans="1:7" ht="48" customHeight="1" x14ac:dyDescent="0.25">
      <c r="A7" s="172"/>
      <c r="B7" s="88" t="s">
        <v>3290</v>
      </c>
      <c r="C7" s="185"/>
      <c r="D7" s="185"/>
      <c r="E7" s="185"/>
      <c r="F7" s="185"/>
      <c r="G7" s="185"/>
    </row>
    <row r="8" spans="1:7" x14ac:dyDescent="0.25">
      <c r="A8" s="52" t="s">
        <v>420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215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216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217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415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219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220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416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417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418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239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240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419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421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422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423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424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265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425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268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426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270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427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272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428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214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270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4" t="s">
        <v>450</v>
      </c>
      <c r="B1" s="174"/>
      <c r="C1" s="174"/>
      <c r="D1" s="174"/>
      <c r="E1" s="174"/>
      <c r="F1" s="174"/>
      <c r="G1" s="174"/>
    </row>
    <row r="2" spans="1:7" customFormat="1" ht="14.25" x14ac:dyDescent="0.45">
      <c r="A2" s="156" t="str">
        <f>ENTIDAD</f>
        <v>Municipio de San Miguel de Allende, Gobierno del Estado de Guanajuato</v>
      </c>
      <c r="B2" s="157"/>
      <c r="C2" s="157"/>
      <c r="D2" s="157"/>
      <c r="E2" s="157"/>
      <c r="F2" s="157"/>
      <c r="G2" s="158"/>
    </row>
    <row r="3" spans="1:7" customFormat="1" ht="14.25" x14ac:dyDescent="0.45">
      <c r="A3" s="159" t="s">
        <v>451</v>
      </c>
      <c r="B3" s="160"/>
      <c r="C3" s="160"/>
      <c r="D3" s="160"/>
      <c r="E3" s="160"/>
      <c r="F3" s="160"/>
      <c r="G3" s="161"/>
    </row>
    <row r="4" spans="1:7" customFormat="1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customFormat="1" ht="14.25" x14ac:dyDescent="0.45">
      <c r="A5" s="159" t="s">
        <v>414</v>
      </c>
      <c r="B5" s="160"/>
      <c r="C5" s="160"/>
      <c r="D5" s="160"/>
      <c r="E5" s="160"/>
      <c r="F5" s="160"/>
      <c r="G5" s="161"/>
    </row>
    <row r="6" spans="1:7" customFormat="1" x14ac:dyDescent="0.25">
      <c r="A6" s="186" t="s">
        <v>3141</v>
      </c>
      <c r="B6" s="51">
        <f>ANIO1P</f>
        <v>2019</v>
      </c>
      <c r="C6" s="184" t="str">
        <f>ANIO2P</f>
        <v>2020 (d)</v>
      </c>
      <c r="D6" s="184" t="str">
        <f>ANIO3P</f>
        <v>2021 (d)</v>
      </c>
      <c r="E6" s="184" t="str">
        <f>ANIO4P</f>
        <v>2022 (d)</v>
      </c>
      <c r="F6" s="184" t="str">
        <f>ANIO5P</f>
        <v>2023 (d)</v>
      </c>
      <c r="G6" s="184" t="str">
        <f>ANIO6P</f>
        <v>2024 (d)</v>
      </c>
    </row>
    <row r="7" spans="1:7" customFormat="1" ht="48" customHeight="1" x14ac:dyDescent="0.25">
      <c r="A7" s="187"/>
      <c r="B7" s="88" t="s">
        <v>3290</v>
      </c>
      <c r="C7" s="185"/>
      <c r="D7" s="185"/>
      <c r="E7" s="185"/>
      <c r="F7" s="185"/>
      <c r="G7" s="185"/>
    </row>
    <row r="8" spans="1:7" x14ac:dyDescent="0.25">
      <c r="A8" s="52" t="s">
        <v>452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453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454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455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457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458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453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454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455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456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457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458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459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463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461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5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465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San Miguel de Allende,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466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1" t="s">
        <v>3287</v>
      </c>
      <c r="B5" s="189" t="str">
        <f>ANIO5R</f>
        <v>2013 ¹ (c)</v>
      </c>
      <c r="C5" s="189" t="str">
        <f>ANIO4R</f>
        <v>2014 ¹ (c)</v>
      </c>
      <c r="D5" s="189" t="str">
        <f>ANIO3R</f>
        <v>2015 ¹ (c)</v>
      </c>
      <c r="E5" s="189" t="str">
        <f>ANIO2R</f>
        <v>2016 ¹ (c)</v>
      </c>
      <c r="F5" s="189" t="str">
        <f>ANIO1R</f>
        <v>2017 ¹ (c)</v>
      </c>
      <c r="G5" s="51">
        <f>ANIO_INFORME</f>
        <v>2018</v>
      </c>
    </row>
    <row r="6" spans="1:7" ht="32.1" customHeight="1" x14ac:dyDescent="0.25">
      <c r="A6" s="192"/>
      <c r="B6" s="190"/>
      <c r="C6" s="190"/>
      <c r="D6" s="190"/>
      <c r="E6" s="190"/>
      <c r="F6" s="190"/>
      <c r="G6" s="88" t="s">
        <v>3293</v>
      </c>
    </row>
    <row r="7" spans="1:7" x14ac:dyDescent="0.25">
      <c r="A7" s="52" t="s">
        <v>467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3297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477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483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268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270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427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487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488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8" t="s">
        <v>3291</v>
      </c>
      <c r="B39" s="188"/>
      <c r="C39" s="188"/>
      <c r="D39" s="188"/>
      <c r="E39" s="188"/>
      <c r="F39" s="188"/>
      <c r="G39" s="188"/>
    </row>
    <row r="40" spans="1:7" ht="15" customHeight="1" x14ac:dyDescent="0.25">
      <c r="A40" s="188" t="s">
        <v>3292</v>
      </c>
      <c r="B40" s="188"/>
      <c r="C40" s="188"/>
      <c r="D40" s="188"/>
      <c r="E40" s="188"/>
      <c r="F40" s="188"/>
      <c r="G40" s="18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214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270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489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San Miguel de Allende,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490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3" t="s">
        <v>3141</v>
      </c>
      <c r="B5" s="189" t="str">
        <f>ANIO5R</f>
        <v>2013 ¹ (c)</v>
      </c>
      <c r="C5" s="189" t="str">
        <f>ANIO4R</f>
        <v>2014 ¹ (c)</v>
      </c>
      <c r="D5" s="189" t="str">
        <f>ANIO3R</f>
        <v>2015 ¹ (c)</v>
      </c>
      <c r="E5" s="189" t="str">
        <f>ANIO2R</f>
        <v>2016 ¹ (c)</v>
      </c>
      <c r="F5" s="189" t="str">
        <f>ANIO1R</f>
        <v>2017 ¹ (c)</v>
      </c>
      <c r="G5" s="51">
        <f>ANIO_INFORME</f>
        <v>2018</v>
      </c>
    </row>
    <row r="6" spans="1:7" ht="32.1" customHeight="1" x14ac:dyDescent="0.25">
      <c r="A6" s="194"/>
      <c r="B6" s="190"/>
      <c r="C6" s="190"/>
      <c r="D6" s="190"/>
      <c r="E6" s="190"/>
      <c r="F6" s="190"/>
      <c r="G6" s="88" t="s">
        <v>3294</v>
      </c>
    </row>
    <row r="7" spans="1:7" ht="14.25" x14ac:dyDescent="0.45">
      <c r="A7" s="52" t="s">
        <v>491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454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455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456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457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458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459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463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461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8" t="s">
        <v>3291</v>
      </c>
      <c r="B32" s="188"/>
      <c r="C32" s="188"/>
      <c r="D32" s="188"/>
      <c r="E32" s="188"/>
      <c r="F32" s="188"/>
      <c r="G32" s="188"/>
    </row>
    <row r="33" spans="1:7" x14ac:dyDescent="0.25">
      <c r="A33" s="188" t="s">
        <v>3292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ht="14.25" x14ac:dyDescent="0.4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8" t="s">
        <v>494</v>
      </c>
      <c r="B1" s="168"/>
      <c r="C1" s="168"/>
      <c r="D1" s="168"/>
      <c r="E1" s="168"/>
      <c r="F1" s="168"/>
      <c r="G1" s="111"/>
    </row>
    <row r="2" spans="1:7" ht="14.25" x14ac:dyDescent="0.45">
      <c r="A2" s="156" t="str">
        <f>ENTE_PUBLICO</f>
        <v>MUNICIPIO DE SAN MIGUEL DE ALLENDE, Gobierno del Estado de Guanajuato</v>
      </c>
      <c r="B2" s="157"/>
      <c r="C2" s="157"/>
      <c r="D2" s="157"/>
      <c r="E2" s="157"/>
      <c r="F2" s="158"/>
    </row>
    <row r="3" spans="1:7" ht="14.25" x14ac:dyDescent="0.45">
      <c r="A3" s="165" t="s">
        <v>495</v>
      </c>
      <c r="B3" s="166"/>
      <c r="C3" s="166"/>
      <c r="D3" s="166"/>
      <c r="E3" s="166"/>
      <c r="F3" s="167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6" t="s">
        <v>501</v>
      </c>
      <c r="B5" s="5"/>
      <c r="C5" s="5"/>
      <c r="D5" s="5"/>
      <c r="E5" s="5"/>
      <c r="F5" s="5"/>
    </row>
    <row r="6" spans="1:7" ht="30" x14ac:dyDescent="0.25">
      <c r="A6" s="137" t="s">
        <v>502</v>
      </c>
      <c r="B6" s="60"/>
      <c r="C6" s="60"/>
      <c r="D6" s="60"/>
      <c r="E6" s="60"/>
      <c r="F6" s="60"/>
    </row>
    <row r="7" spans="1:7" x14ac:dyDescent="0.25">
      <c r="A7" s="137" t="s">
        <v>503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504</v>
      </c>
      <c r="B9" s="54"/>
      <c r="C9" s="54"/>
      <c r="D9" s="54"/>
      <c r="E9" s="54"/>
      <c r="F9" s="54"/>
    </row>
    <row r="10" spans="1:7" ht="14.25" x14ac:dyDescent="0.45">
      <c r="A10" s="137" t="s">
        <v>505</v>
      </c>
      <c r="B10" s="60"/>
      <c r="C10" s="60"/>
      <c r="D10" s="60"/>
      <c r="E10" s="60"/>
      <c r="F10" s="60"/>
    </row>
    <row r="11" spans="1:7" x14ac:dyDescent="0.25">
      <c r="A11" s="139" t="s">
        <v>506</v>
      </c>
      <c r="B11" s="60"/>
      <c r="C11" s="60"/>
      <c r="D11" s="60"/>
      <c r="E11" s="60"/>
      <c r="F11" s="60"/>
    </row>
    <row r="12" spans="1:7" x14ac:dyDescent="0.25">
      <c r="A12" s="139" t="s">
        <v>507</v>
      </c>
      <c r="B12" s="60"/>
      <c r="C12" s="60"/>
      <c r="D12" s="60"/>
      <c r="E12" s="60"/>
      <c r="F12" s="60"/>
    </row>
    <row r="13" spans="1:7" ht="14.25" x14ac:dyDescent="0.45">
      <c r="A13" s="139" t="s">
        <v>508</v>
      </c>
      <c r="B13" s="60"/>
      <c r="C13" s="60"/>
      <c r="D13" s="60"/>
      <c r="E13" s="60"/>
      <c r="F13" s="60"/>
    </row>
    <row r="14" spans="1:7" ht="14.25" x14ac:dyDescent="0.45">
      <c r="A14" s="137" t="s">
        <v>509</v>
      </c>
      <c r="B14" s="60"/>
      <c r="C14" s="60"/>
      <c r="D14" s="60"/>
      <c r="E14" s="60"/>
      <c r="F14" s="60"/>
    </row>
    <row r="15" spans="1:7" x14ac:dyDescent="0.25">
      <c r="A15" s="139" t="s">
        <v>506</v>
      </c>
      <c r="B15" s="60"/>
      <c r="C15" s="60"/>
      <c r="D15" s="60"/>
      <c r="E15" s="60"/>
      <c r="F15" s="60"/>
    </row>
    <row r="16" spans="1:7" x14ac:dyDescent="0.25">
      <c r="A16" s="139" t="s">
        <v>507</v>
      </c>
      <c r="B16" s="60"/>
      <c r="C16" s="60"/>
      <c r="D16" s="60"/>
      <c r="E16" s="60"/>
      <c r="F16" s="60"/>
    </row>
    <row r="17" spans="1:6" ht="14.25" x14ac:dyDescent="0.45">
      <c r="A17" s="139" t="s">
        <v>508</v>
      </c>
      <c r="B17" s="60"/>
      <c r="C17" s="60"/>
      <c r="D17" s="60"/>
      <c r="E17" s="60"/>
      <c r="F17" s="60"/>
    </row>
    <row r="18" spans="1:6" ht="14.25" x14ac:dyDescent="0.45">
      <c r="A18" s="137" t="s">
        <v>510</v>
      </c>
      <c r="B18" s="145"/>
      <c r="C18" s="60"/>
      <c r="D18" s="60"/>
      <c r="E18" s="60"/>
      <c r="F18" s="60"/>
    </row>
    <row r="19" spans="1:6" x14ac:dyDescent="0.25">
      <c r="A19" s="137" t="s">
        <v>511</v>
      </c>
      <c r="B19" s="60"/>
      <c r="C19" s="60"/>
      <c r="D19" s="60"/>
      <c r="E19" s="60"/>
      <c r="F19" s="60"/>
    </row>
    <row r="20" spans="1:6" x14ac:dyDescent="0.25">
      <c r="A20" s="137" t="s">
        <v>512</v>
      </c>
      <c r="B20" s="146"/>
      <c r="C20" s="146"/>
      <c r="D20" s="146"/>
      <c r="E20" s="146"/>
      <c r="F20" s="146"/>
    </row>
    <row r="21" spans="1:6" x14ac:dyDescent="0.25">
      <c r="A21" s="137" t="s">
        <v>513</v>
      </c>
      <c r="B21" s="146"/>
      <c r="C21" s="146"/>
      <c r="D21" s="146"/>
      <c r="E21" s="146"/>
      <c r="F21" s="146"/>
    </row>
    <row r="22" spans="1:6" ht="14.25" x14ac:dyDescent="0.45">
      <c r="A22" s="64" t="s">
        <v>514</v>
      </c>
      <c r="B22" s="146"/>
      <c r="C22" s="146"/>
      <c r="D22" s="146"/>
      <c r="E22" s="146"/>
      <c r="F22" s="146"/>
    </row>
    <row r="23" spans="1:6" ht="14.25" x14ac:dyDescent="0.45">
      <c r="A23" s="64" t="s">
        <v>515</v>
      </c>
      <c r="B23" s="146"/>
      <c r="C23" s="146"/>
      <c r="D23" s="146"/>
      <c r="E23" s="146"/>
      <c r="F23" s="146"/>
    </row>
    <row r="24" spans="1:6" x14ac:dyDescent="0.25">
      <c r="A24" s="64" t="s">
        <v>516</v>
      </c>
      <c r="B24" s="147"/>
      <c r="C24" s="60"/>
      <c r="D24" s="60"/>
      <c r="E24" s="60"/>
      <c r="F24" s="60"/>
    </row>
    <row r="25" spans="1:6" ht="14.25" x14ac:dyDescent="0.45">
      <c r="A25" s="137" t="s">
        <v>517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518</v>
      </c>
      <c r="B27" s="54"/>
      <c r="C27" s="54"/>
      <c r="D27" s="54"/>
      <c r="E27" s="54"/>
      <c r="F27" s="54"/>
    </row>
    <row r="28" spans="1:6" ht="14.25" x14ac:dyDescent="0.45">
      <c r="A28" s="137" t="s">
        <v>519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520</v>
      </c>
      <c r="B30" s="54"/>
      <c r="C30" s="54"/>
      <c r="D30" s="54"/>
      <c r="E30" s="54"/>
      <c r="F30" s="54"/>
    </row>
    <row r="31" spans="1:6" ht="14.25" x14ac:dyDescent="0.45">
      <c r="A31" s="137" t="s">
        <v>505</v>
      </c>
      <c r="B31" s="60"/>
      <c r="C31" s="60"/>
      <c r="D31" s="60"/>
      <c r="E31" s="60"/>
      <c r="F31" s="60"/>
    </row>
    <row r="32" spans="1:6" ht="14.25" x14ac:dyDescent="0.45">
      <c r="A32" s="137" t="s">
        <v>509</v>
      </c>
      <c r="B32" s="60"/>
      <c r="C32" s="60"/>
      <c r="D32" s="60"/>
      <c r="E32" s="60"/>
      <c r="F32" s="60"/>
    </row>
    <row r="33" spans="1:6" ht="14.25" x14ac:dyDescent="0.45">
      <c r="A33" s="137" t="s">
        <v>521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522</v>
      </c>
      <c r="B35" s="54"/>
      <c r="C35" s="54"/>
      <c r="D35" s="54"/>
      <c r="E35" s="54"/>
      <c r="F35" s="54"/>
    </row>
    <row r="36" spans="1:6" x14ac:dyDescent="0.25">
      <c r="A36" s="137" t="s">
        <v>523</v>
      </c>
      <c r="B36" s="60"/>
      <c r="C36" s="60"/>
      <c r="D36" s="60"/>
      <c r="E36" s="60"/>
      <c r="F36" s="60"/>
    </row>
    <row r="37" spans="1:6" x14ac:dyDescent="0.25">
      <c r="A37" s="137" t="s">
        <v>524</v>
      </c>
      <c r="B37" s="60"/>
      <c r="C37" s="60"/>
      <c r="D37" s="60"/>
      <c r="E37" s="60"/>
      <c r="F37" s="60"/>
    </row>
    <row r="38" spans="1:6" ht="14.25" x14ac:dyDescent="0.45">
      <c r="A38" s="137" t="s">
        <v>525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526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527</v>
      </c>
      <c r="B42" s="54"/>
      <c r="C42" s="54"/>
      <c r="D42" s="54"/>
      <c r="E42" s="54"/>
      <c r="F42" s="54"/>
    </row>
    <row r="43" spans="1:6" ht="14.25" x14ac:dyDescent="0.45">
      <c r="A43" s="137" t="s">
        <v>528</v>
      </c>
      <c r="B43" s="60"/>
      <c r="C43" s="60"/>
      <c r="D43" s="60"/>
      <c r="E43" s="60"/>
      <c r="F43" s="60"/>
    </row>
    <row r="44" spans="1:6" x14ac:dyDescent="0.25">
      <c r="A44" s="137" t="s">
        <v>529</v>
      </c>
      <c r="B44" s="60"/>
      <c r="C44" s="60"/>
      <c r="D44" s="60"/>
      <c r="E44" s="60"/>
      <c r="F44" s="60"/>
    </row>
    <row r="45" spans="1:6" x14ac:dyDescent="0.25">
      <c r="A45" s="137" t="s">
        <v>530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6"/>
      <c r="C48" s="146"/>
      <c r="D48" s="146"/>
      <c r="E48" s="146"/>
      <c r="F48" s="146"/>
    </row>
    <row r="49" spans="1:6" x14ac:dyDescent="0.25">
      <c r="A49" s="64" t="s">
        <v>530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532</v>
      </c>
      <c r="B51" s="54"/>
      <c r="C51" s="54"/>
      <c r="D51" s="54"/>
      <c r="E51" s="54"/>
      <c r="F51" s="54"/>
    </row>
    <row r="52" spans="1:6" x14ac:dyDescent="0.25">
      <c r="A52" s="137" t="s">
        <v>529</v>
      </c>
      <c r="B52" s="60"/>
      <c r="C52" s="60"/>
      <c r="D52" s="60"/>
      <c r="E52" s="60"/>
      <c r="F52" s="60"/>
    </row>
    <row r="53" spans="1:6" x14ac:dyDescent="0.25">
      <c r="A53" s="137" t="s">
        <v>530</v>
      </c>
      <c r="B53" s="60"/>
      <c r="C53" s="60"/>
      <c r="D53" s="60"/>
      <c r="E53" s="60"/>
      <c r="F53" s="60"/>
    </row>
    <row r="54" spans="1:6" x14ac:dyDescent="0.25">
      <c r="A54" s="137" t="s">
        <v>533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534</v>
      </c>
      <c r="B56" s="54"/>
      <c r="C56" s="54"/>
      <c r="D56" s="54"/>
      <c r="E56" s="54"/>
      <c r="F56" s="54"/>
    </row>
    <row r="57" spans="1:6" x14ac:dyDescent="0.25">
      <c r="A57" s="137" t="s">
        <v>529</v>
      </c>
      <c r="B57" s="60"/>
      <c r="C57" s="60"/>
      <c r="D57" s="60"/>
      <c r="E57" s="60"/>
      <c r="F57" s="60"/>
    </row>
    <row r="58" spans="1:6" x14ac:dyDescent="0.25">
      <c r="A58" s="137" t="s">
        <v>530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535</v>
      </c>
      <c r="B60" s="54"/>
      <c r="C60" s="54"/>
      <c r="D60" s="54"/>
      <c r="E60" s="54"/>
      <c r="F60" s="54"/>
    </row>
    <row r="61" spans="1:6" x14ac:dyDescent="0.25">
      <c r="A61" s="137" t="s">
        <v>536</v>
      </c>
      <c r="B61" s="60"/>
      <c r="C61" s="60"/>
      <c r="D61" s="60"/>
      <c r="E61" s="60"/>
      <c r="F61" s="60"/>
    </row>
    <row r="62" spans="1:6" x14ac:dyDescent="0.25">
      <c r="A62" s="137" t="s">
        <v>537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538</v>
      </c>
      <c r="B64" s="54"/>
      <c r="C64" s="54"/>
      <c r="D64" s="54"/>
      <c r="E64" s="54"/>
      <c r="F64" s="54"/>
    </row>
    <row r="65" spans="1:6" x14ac:dyDescent="0.25">
      <c r="A65" s="137" t="s">
        <v>539</v>
      </c>
      <c r="B65" s="60"/>
      <c r="C65" s="60"/>
      <c r="D65" s="60"/>
      <c r="E65" s="60"/>
      <c r="F65" s="60"/>
    </row>
    <row r="66" spans="1:6" x14ac:dyDescent="0.25">
      <c r="A66" s="137" t="s">
        <v>540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70" zoomScaleNormal="7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8" t="s">
        <v>544</v>
      </c>
      <c r="B1" s="168"/>
      <c r="C1" s="168"/>
      <c r="D1" s="168"/>
      <c r="E1" s="168"/>
      <c r="F1" s="168"/>
    </row>
    <row r="2" spans="1:6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8"/>
    </row>
    <row r="3" spans="1:6" x14ac:dyDescent="0.25">
      <c r="A3" s="159" t="s">
        <v>117</v>
      </c>
      <c r="B3" s="160"/>
      <c r="C3" s="160"/>
      <c r="D3" s="160"/>
      <c r="E3" s="160"/>
      <c r="F3" s="161"/>
    </row>
    <row r="4" spans="1:6" ht="14.25" x14ac:dyDescent="0.45">
      <c r="A4" s="162" t="str">
        <f>PERIODO_INFORME</f>
        <v>Al 31 de diciembre de 2017 y al 30 de junio de 2018 (b)</v>
      </c>
      <c r="B4" s="163"/>
      <c r="C4" s="163"/>
      <c r="D4" s="163"/>
      <c r="E4" s="163"/>
      <c r="F4" s="164"/>
    </row>
    <row r="5" spans="1:6" ht="14.25" x14ac:dyDescent="0.45">
      <c r="A5" s="165" t="s">
        <v>118</v>
      </c>
      <c r="B5" s="166"/>
      <c r="C5" s="166"/>
      <c r="D5" s="166"/>
      <c r="E5" s="166"/>
      <c r="F5" s="167"/>
    </row>
    <row r="6" spans="1:6" s="3" customFormat="1" ht="28.5" x14ac:dyDescent="0.45">
      <c r="A6" s="133" t="s">
        <v>3283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499859335.59000003</v>
      </c>
      <c r="C9" s="60">
        <f>SUM(C10:C16)</f>
        <v>462058876.68000001</v>
      </c>
      <c r="D9" s="100" t="s">
        <v>54</v>
      </c>
      <c r="E9" s="60">
        <f>SUM(E10:E18)</f>
        <v>24740970.710000001</v>
      </c>
      <c r="F9" s="60">
        <f>SUM(F10:F18)</f>
        <v>39996430.590000004</v>
      </c>
    </row>
    <row r="10" spans="1:6" x14ac:dyDescent="0.25">
      <c r="A10" s="96" t="s">
        <v>4</v>
      </c>
      <c r="B10" s="149"/>
      <c r="C10" s="149"/>
      <c r="D10" s="101" t="s">
        <v>55</v>
      </c>
      <c r="E10" s="149">
        <v>-57408.44</v>
      </c>
      <c r="F10" s="149">
        <v>-51887.73</v>
      </c>
    </row>
    <row r="11" spans="1:6" x14ac:dyDescent="0.25">
      <c r="A11" s="96" t="s">
        <v>5</v>
      </c>
      <c r="B11" s="149">
        <v>7763133.4100000001</v>
      </c>
      <c r="C11" s="149">
        <v>17861880.02</v>
      </c>
      <c r="D11" s="101" t="s">
        <v>56</v>
      </c>
      <c r="E11" s="149">
        <v>627133.43999999994</v>
      </c>
      <c r="F11" s="149">
        <v>576914.92000000004</v>
      </c>
    </row>
    <row r="12" spans="1:6" x14ac:dyDescent="0.25">
      <c r="A12" s="96" t="s">
        <v>6</v>
      </c>
      <c r="B12" s="149"/>
      <c r="C12" s="149"/>
      <c r="D12" s="101" t="s">
        <v>57</v>
      </c>
      <c r="E12" s="149">
        <v>3666909.92</v>
      </c>
      <c r="F12" s="149">
        <v>11693501.630000001</v>
      </c>
    </row>
    <row r="13" spans="1:6" x14ac:dyDescent="0.25">
      <c r="A13" s="96" t="s">
        <v>7</v>
      </c>
      <c r="B13" s="149">
        <v>326630100.62</v>
      </c>
      <c r="C13" s="149">
        <v>224270784.21000001</v>
      </c>
      <c r="D13" s="101" t="s">
        <v>58</v>
      </c>
      <c r="E13" s="149"/>
      <c r="F13" s="149"/>
    </row>
    <row r="14" spans="1:6" x14ac:dyDescent="0.25">
      <c r="A14" s="96" t="s">
        <v>8</v>
      </c>
      <c r="B14" s="149">
        <v>153262426.50999999</v>
      </c>
      <c r="C14" s="149">
        <v>216787102.91</v>
      </c>
      <c r="D14" s="101" t="s">
        <v>59</v>
      </c>
      <c r="E14" s="149">
        <v>0</v>
      </c>
      <c r="F14" s="149">
        <v>5847511.5199999996</v>
      </c>
    </row>
    <row r="15" spans="1:6" x14ac:dyDescent="0.25">
      <c r="A15" s="96" t="s">
        <v>9</v>
      </c>
      <c r="B15" s="149">
        <v>12203675.050000001</v>
      </c>
      <c r="C15" s="149">
        <v>3139109.54</v>
      </c>
      <c r="D15" s="101" t="s">
        <v>60</v>
      </c>
      <c r="E15" s="149"/>
      <c r="F15" s="149"/>
    </row>
    <row r="16" spans="1:6" x14ac:dyDescent="0.25">
      <c r="A16" s="96" t="s">
        <v>10</v>
      </c>
      <c r="B16" s="149"/>
      <c r="C16" s="149"/>
      <c r="D16" s="101" t="s">
        <v>61</v>
      </c>
      <c r="E16" s="149">
        <v>11795313.060000001</v>
      </c>
      <c r="F16" s="149">
        <v>12375266.82</v>
      </c>
    </row>
    <row r="17" spans="1:6" x14ac:dyDescent="0.25">
      <c r="A17" s="95" t="s">
        <v>11</v>
      </c>
      <c r="B17" s="60">
        <f>SUM(B18:B24)</f>
        <v>23036655.91</v>
      </c>
      <c r="C17" s="60">
        <f>SUM(C18:C24)</f>
        <v>21389372.789999999</v>
      </c>
      <c r="D17" s="101" t="s">
        <v>62</v>
      </c>
      <c r="E17" s="149">
        <v>-17735.97</v>
      </c>
      <c r="F17" s="149">
        <v>-17735.97</v>
      </c>
    </row>
    <row r="18" spans="1:6" x14ac:dyDescent="0.25">
      <c r="A18" s="97" t="s">
        <v>12</v>
      </c>
      <c r="B18" s="149"/>
      <c r="C18" s="149"/>
      <c r="D18" s="101" t="s">
        <v>63</v>
      </c>
      <c r="E18" s="149">
        <v>8726758.6999999993</v>
      </c>
      <c r="F18" s="149">
        <v>9572859.4000000004</v>
      </c>
    </row>
    <row r="19" spans="1:6" x14ac:dyDescent="0.25">
      <c r="A19" s="97" t="s">
        <v>13</v>
      </c>
      <c r="B19" s="149">
        <v>-111828.61</v>
      </c>
      <c r="C19" s="149">
        <v>-111783.55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2474560.5299999998</v>
      </c>
      <c r="C20" s="149">
        <v>1366056.89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1277931.29</v>
      </c>
      <c r="C21" s="149">
        <v>1277931.29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49">
        <v>235207.76</v>
      </c>
      <c r="C22" s="149">
        <v>48363.03</v>
      </c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49"/>
      <c r="C23" s="149"/>
      <c r="D23" s="100" t="s">
        <v>68</v>
      </c>
      <c r="E23" s="60">
        <f>E24+E25</f>
        <v>3460884</v>
      </c>
      <c r="F23" s="60">
        <f>F24+F25</f>
        <v>494412</v>
      </c>
    </row>
    <row r="24" spans="1:6" x14ac:dyDescent="0.25">
      <c r="A24" s="97" t="s">
        <v>18</v>
      </c>
      <c r="B24" s="149">
        <v>19160784.940000001</v>
      </c>
      <c r="C24" s="149">
        <v>18808805.129999999</v>
      </c>
      <c r="D24" s="101" t="s">
        <v>69</v>
      </c>
      <c r="E24" s="149">
        <v>3460884</v>
      </c>
      <c r="F24" s="149">
        <v>494412</v>
      </c>
    </row>
    <row r="25" spans="1:6" x14ac:dyDescent="0.25">
      <c r="A25" s="95" t="s">
        <v>19</v>
      </c>
      <c r="B25" s="60">
        <f>SUM(B26:B30)</f>
        <v>159351248.08000001</v>
      </c>
      <c r="C25" s="60">
        <f>SUM(C26:C30)</f>
        <v>64259049.25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49">
        <v>11989640.52</v>
      </c>
      <c r="C26" s="149">
        <v>226338.57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9"/>
      <c r="C27" s="149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9"/>
      <c r="C28" s="149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9">
        <v>147361607.56</v>
      </c>
      <c r="C29" s="149">
        <v>64032710.68</v>
      </c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49"/>
      <c r="C30" s="149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1899.5</v>
      </c>
      <c r="C31" s="60">
        <f>SUM(C32:C36)</f>
        <v>1899.5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1899.5</v>
      </c>
      <c r="C32" s="149">
        <v>1899.5</v>
      </c>
      <c r="D32" s="101" t="s">
        <v>77</v>
      </c>
      <c r="E32" s="149"/>
      <c r="F32" s="149"/>
    </row>
    <row r="33" spans="1:6" x14ac:dyDescent="0.25">
      <c r="A33" s="97" t="s">
        <v>27</v>
      </c>
      <c r="B33" s="149"/>
      <c r="C33" s="149"/>
      <c r="D33" s="101" t="s">
        <v>78</v>
      </c>
      <c r="E33" s="149"/>
      <c r="F33" s="149"/>
    </row>
    <row r="34" spans="1:6" x14ac:dyDescent="0.25">
      <c r="A34" s="97" t="s">
        <v>28</v>
      </c>
      <c r="B34" s="149"/>
      <c r="C34" s="149"/>
      <c r="D34" s="101" t="s">
        <v>79</v>
      </c>
      <c r="E34" s="149"/>
      <c r="F34" s="149"/>
    </row>
    <row r="35" spans="1:6" x14ac:dyDescent="0.25">
      <c r="A35" s="97" t="s">
        <v>29</v>
      </c>
      <c r="B35" s="149"/>
      <c r="C35" s="149"/>
      <c r="D35" s="101" t="s">
        <v>80</v>
      </c>
      <c r="E35" s="149"/>
      <c r="F35" s="149"/>
    </row>
    <row r="36" spans="1:6" x14ac:dyDescent="0.25">
      <c r="A36" s="97" t="s">
        <v>30</v>
      </c>
      <c r="B36" s="149"/>
      <c r="C36" s="149"/>
      <c r="D36" s="101" t="s">
        <v>81</v>
      </c>
      <c r="E36" s="149"/>
      <c r="F36" s="149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149"/>
      <c r="F37" s="149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7898339.2999999998</v>
      </c>
      <c r="F38" s="60">
        <f>SUM(F39:F41)</f>
        <v>-115022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7898339.2999999998</v>
      </c>
      <c r="F41" s="149">
        <v>-115022</v>
      </c>
    </row>
    <row r="42" spans="1:6" x14ac:dyDescent="0.25">
      <c r="A42" s="97" t="s">
        <v>35</v>
      </c>
      <c r="B42" s="149"/>
      <c r="C42" s="149"/>
      <c r="D42" s="100" t="s">
        <v>87</v>
      </c>
      <c r="E42" s="60">
        <f>SUM(E43:E45)</f>
        <v>276067.33</v>
      </c>
      <c r="F42" s="60">
        <f>SUM(F43:F45)</f>
        <v>276067.33</v>
      </c>
    </row>
    <row r="43" spans="1:6" x14ac:dyDescent="0.25">
      <c r="A43" s="97" t="s">
        <v>36</v>
      </c>
      <c r="B43" s="149"/>
      <c r="C43" s="149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49"/>
      <c r="C44" s="149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49"/>
      <c r="C45" s="149"/>
      <c r="D45" s="101" t="s">
        <v>90</v>
      </c>
      <c r="E45" s="149">
        <v>276067.33</v>
      </c>
      <c r="F45" s="149">
        <v>276067.33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682249139.08000004</v>
      </c>
      <c r="C47" s="61">
        <f>C9+C17+C25+C31+C38+C41</f>
        <v>547709198.22000003</v>
      </c>
      <c r="D47" s="99" t="s">
        <v>91</v>
      </c>
      <c r="E47" s="61">
        <f>E9+E19+E23+E26+E27+E31+E38+E42</f>
        <v>36376261.339999996</v>
      </c>
      <c r="F47" s="61">
        <f>F9+F19+F23+F26+F27+F31+F38+F42</f>
        <v>40651887.920000002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-1437750.16</v>
      </c>
      <c r="C50" s="149">
        <v>-1437750.16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1302027045.4200001</v>
      </c>
      <c r="C52" s="149">
        <v>1212067360</v>
      </c>
      <c r="D52" s="100" t="s">
        <v>95</v>
      </c>
      <c r="E52" s="149">
        <v>23501797.399999999</v>
      </c>
      <c r="F52" s="149">
        <v>29434741.399999999</v>
      </c>
    </row>
    <row r="53" spans="1:6" x14ac:dyDescent="0.25">
      <c r="A53" s="95" t="s">
        <v>44</v>
      </c>
      <c r="B53" s="149">
        <v>103301301.3</v>
      </c>
      <c r="C53" s="149">
        <v>97104736.569999993</v>
      </c>
      <c r="D53" s="100" t="s">
        <v>96</v>
      </c>
      <c r="E53" s="149">
        <v>0</v>
      </c>
      <c r="F53" s="149">
        <v>0</v>
      </c>
    </row>
    <row r="54" spans="1:6" x14ac:dyDescent="0.25">
      <c r="A54" s="95" t="s">
        <v>45</v>
      </c>
      <c r="B54" s="149">
        <v>2850779.31</v>
      </c>
      <c r="C54" s="149">
        <v>2795679.31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-75858923.609999999</v>
      </c>
      <c r="C55" s="149">
        <v>-75858923.609999999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1379742.26</v>
      </c>
      <c r="C56" s="149">
        <v>1379742.26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23501797.399999999</v>
      </c>
      <c r="F57" s="61">
        <f>SUM(F50:F55)</f>
        <v>29434741.399999999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59878058.739999995</v>
      </c>
      <c r="F59" s="61">
        <f>F47+F57</f>
        <v>70086629.319999993</v>
      </c>
    </row>
    <row r="60" spans="1:6" x14ac:dyDescent="0.25">
      <c r="A60" s="55" t="s">
        <v>50</v>
      </c>
      <c r="B60" s="61">
        <f>SUM(B50:B58)</f>
        <v>1332262194.52</v>
      </c>
      <c r="C60" s="61">
        <f>SUM(C50:C58)</f>
        <v>1236050844.3699999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2014511333.5999999</v>
      </c>
      <c r="C62" s="61">
        <f>SUM(C47+C60)</f>
        <v>1783760042.5899999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290828908.97999996</v>
      </c>
      <c r="F63" s="77">
        <f>SUM(F64:F66)</f>
        <v>290828908.97999996</v>
      </c>
    </row>
    <row r="64" spans="1:6" x14ac:dyDescent="0.25">
      <c r="A64" s="54"/>
      <c r="B64" s="54"/>
      <c r="C64" s="54"/>
      <c r="D64" s="103" t="s">
        <v>103</v>
      </c>
      <c r="E64" s="149">
        <v>280359628.63999999</v>
      </c>
      <c r="F64" s="149">
        <v>280359628.63999999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10469280.34</v>
      </c>
      <c r="F66" s="149">
        <v>10469280.34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1663804365.8799999</v>
      </c>
      <c r="F68" s="77">
        <f>SUM(F69:F73)</f>
        <v>1422867065.8899999</v>
      </c>
    </row>
    <row r="69" spans="1:6" x14ac:dyDescent="0.25">
      <c r="A69" s="12"/>
      <c r="B69" s="54"/>
      <c r="C69" s="54"/>
      <c r="D69" s="103" t="s">
        <v>107</v>
      </c>
      <c r="E69" s="149">
        <v>240662123.38</v>
      </c>
      <c r="F69" s="149">
        <v>440921605.57999998</v>
      </c>
    </row>
    <row r="70" spans="1:6" x14ac:dyDescent="0.25">
      <c r="A70" s="12"/>
      <c r="B70" s="54"/>
      <c r="C70" s="54"/>
      <c r="D70" s="103" t="s">
        <v>108</v>
      </c>
      <c r="E70" s="149">
        <v>1564993372.72</v>
      </c>
      <c r="F70" s="149">
        <v>1123796590.53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-141851130.22</v>
      </c>
      <c r="F73" s="149">
        <v>-141851130.22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1954633274.8599999</v>
      </c>
      <c r="F79" s="61">
        <f>F63+F68+F75</f>
        <v>1713695974.8699999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2014511333.5999999</v>
      </c>
      <c r="F81" s="61">
        <f>F59+F79</f>
        <v>1783782604.1899998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499859335.59000003</v>
      </c>
      <c r="Q4" s="18">
        <f>'Formato 1'!C9</f>
        <v>462058876.68000001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7763133.4100000001</v>
      </c>
      <c r="Q6" s="18">
        <f>'Formato 1'!C11</f>
        <v>17861880.02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326630100.62</v>
      </c>
      <c r="Q8" s="18">
        <f>'Formato 1'!C13</f>
        <v>224270784.21000001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153262426.50999999</v>
      </c>
      <c r="Q9" s="18">
        <f>'Formato 1'!C14</f>
        <v>216787102.91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12203675.050000001</v>
      </c>
      <c r="Q10" s="18">
        <f>'Formato 1'!C15</f>
        <v>3139109.54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23036655.91</v>
      </c>
      <c r="Q12" s="18">
        <f>'Formato 1'!C17</f>
        <v>21389372.789999999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-111828.61</v>
      </c>
      <c r="Q14" s="18">
        <f>'Formato 1'!C19</f>
        <v>-111783.55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2474560.5299999998</v>
      </c>
      <c r="Q15" s="18">
        <f>'Formato 1'!C20</f>
        <v>1366056.89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1277931.29</v>
      </c>
      <c r="Q16" s="18">
        <f>'Formato 1'!C21</f>
        <v>1277931.29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235207.76</v>
      </c>
      <c r="Q17" s="18">
        <f>'Formato 1'!C22</f>
        <v>48363.03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19160784.940000001</v>
      </c>
      <c r="Q19" s="18">
        <f>'Formato 1'!C24</f>
        <v>18808805.129999999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159351248.08000001</v>
      </c>
      <c r="Q20" s="18">
        <f>'Formato 1'!C25</f>
        <v>64259049.25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11989640.52</v>
      </c>
      <c r="Q21" s="18">
        <f>'Formato 1'!C26</f>
        <v>226338.57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147361607.56</v>
      </c>
      <c r="Q24" s="18">
        <f>'Formato 1'!C29</f>
        <v>64032710.68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1899.5</v>
      </c>
      <c r="Q26" s="18">
        <f>'Formato 1'!C31</f>
        <v>1899.5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1899.5</v>
      </c>
      <c r="Q27" s="18">
        <f>'Formato 1'!C32</f>
        <v>1899.5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682249139.08000004</v>
      </c>
      <c r="Q42" s="18">
        <f>'Formato 1'!C47</f>
        <v>547709198.22000003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-1437750.16</v>
      </c>
      <c r="Q44">
        <f>'Formato 1'!C50</f>
        <v>-1437750.16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1302027045.4200001</v>
      </c>
      <c r="Q46">
        <f>'Formato 1'!C52</f>
        <v>1212067360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103301301.3</v>
      </c>
      <c r="Q47">
        <f>'Formato 1'!C53</f>
        <v>97104736.569999993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2850779.31</v>
      </c>
      <c r="Q48">
        <f>'Formato 1'!C54</f>
        <v>2795679.31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-75858923.609999999</v>
      </c>
      <c r="Q49">
        <f>'Formato 1'!C55</f>
        <v>-75858923.609999999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1379742.26</v>
      </c>
      <c r="Q50">
        <f>'Formato 1'!C56</f>
        <v>1379742.26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1332262194.52</v>
      </c>
      <c r="Q53">
        <f>'Formato 1'!C60</f>
        <v>1236050844.3699999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2014511333.5999999</v>
      </c>
      <c r="Q54">
        <f>'Formato 1'!C62</f>
        <v>1783760042.5899999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24740970.710000001</v>
      </c>
      <c r="Q57">
        <f>'Formato 1'!F9</f>
        <v>39996430.590000004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-57408.44</v>
      </c>
      <c r="Q58">
        <f>'Formato 1'!F10</f>
        <v>-51887.73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627133.43999999994</v>
      </c>
      <c r="Q59">
        <f>'Formato 1'!F11</f>
        <v>576914.92000000004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3666909.92</v>
      </c>
      <c r="Q60">
        <f>'Formato 1'!F12</f>
        <v>11693501.630000001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0</v>
      </c>
      <c r="Q62">
        <f>'Formato 1'!F14</f>
        <v>5847511.5199999996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11795313.060000001</v>
      </c>
      <c r="Q64">
        <f>'Formato 1'!F16</f>
        <v>12375266.82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-17735.97</v>
      </c>
      <c r="Q65">
        <f>'Formato 1'!F17</f>
        <v>-17735.97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8726758.6999999993</v>
      </c>
      <c r="Q66">
        <f>'Formato 1'!F18</f>
        <v>9572859.4000000004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3460884</v>
      </c>
      <c r="Q71">
        <f>'Formato 1'!F23</f>
        <v>494412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3460884</v>
      </c>
      <c r="Q72">
        <f>'Formato 1'!F24</f>
        <v>494412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7898339.2999999998</v>
      </c>
      <c r="Q87">
        <f>'Formato 1'!F38</f>
        <v>-115022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7898339.2999999998</v>
      </c>
      <c r="Q90">
        <f>'Formato 1'!F41</f>
        <v>-115022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276067.33</v>
      </c>
      <c r="Q91">
        <f>'Formato 1'!F42</f>
        <v>276067.33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276067.33</v>
      </c>
      <c r="Q94">
        <f>'Formato 1'!F45</f>
        <v>276067.33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36376261.339999996</v>
      </c>
      <c r="Q95">
        <f>'Formato 1'!F47</f>
        <v>40651887.920000002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23501797.399999999</v>
      </c>
      <c r="Q99">
        <f>'Formato 1'!F52</f>
        <v>29434741.399999999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23501797.399999999</v>
      </c>
      <c r="Q103">
        <f>'Formato 1'!F57</f>
        <v>29434741.399999999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59878058.739999995</v>
      </c>
      <c r="Q104">
        <f>'Formato 1'!F59</f>
        <v>70086629.319999993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290828908.97999996</v>
      </c>
      <c r="Q106">
        <f>'Formato 1'!F63</f>
        <v>290828908.97999996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280359628.63999999</v>
      </c>
      <c r="Q107">
        <f>'Formato 1'!F64</f>
        <v>280359628.63999999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10469280.34</v>
      </c>
      <c r="Q109">
        <f>'Formato 1'!F66</f>
        <v>10469280.34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1663804365.8799999</v>
      </c>
      <c r="Q110">
        <f>'Formato 1'!F68</f>
        <v>1422867065.8899999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240662123.38</v>
      </c>
      <c r="Q111">
        <f>'Formato 1'!F69</f>
        <v>440921605.57999998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1564993372.72</v>
      </c>
      <c r="Q112">
        <f>'Formato 1'!F70</f>
        <v>1123796590.53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-141851130.22</v>
      </c>
      <c r="Q115">
        <f>'Formato 1'!F73</f>
        <v>-141851130.22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1954633274.8599999</v>
      </c>
      <c r="Q119">
        <f>'Formato 1'!F79</f>
        <v>1713695974.8699999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2014511333.5999999</v>
      </c>
      <c r="Q120">
        <f>'Formato 1'!F81</f>
        <v>1783782604.1899998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4" sqref="F1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0" t="s">
        <v>543</v>
      </c>
      <c r="B1" s="170"/>
      <c r="C1" s="170"/>
      <c r="D1" s="170"/>
      <c r="E1" s="170"/>
      <c r="F1" s="170"/>
      <c r="G1" s="170"/>
      <c r="H1" s="170"/>
    </row>
    <row r="2" spans="1:9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25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ht="14.25" x14ac:dyDescent="0.45">
      <c r="A4" s="162" t="str">
        <f>PERIODO_INFORME</f>
        <v>Al 31 de diciembre de 2017 y al 30 de junio de 2018 (b)</v>
      </c>
      <c r="B4" s="163"/>
      <c r="C4" s="163"/>
      <c r="D4" s="163"/>
      <c r="E4" s="163"/>
      <c r="F4" s="163"/>
      <c r="G4" s="163"/>
      <c r="H4" s="164"/>
    </row>
    <row r="5" spans="1:9" ht="14.25" x14ac:dyDescent="0.45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3</v>
      </c>
      <c r="C8" s="61">
        <f t="shared" ref="C8:H8" si="0">C9+C13</f>
        <v>3</v>
      </c>
      <c r="D8" s="61">
        <f t="shared" si="0"/>
        <v>3955299</v>
      </c>
      <c r="E8" s="61">
        <f t="shared" si="0"/>
        <v>3</v>
      </c>
      <c r="F8" s="61">
        <f t="shared" si="0"/>
        <v>-1352713.23</v>
      </c>
      <c r="G8" s="61">
        <f t="shared" si="0"/>
        <v>6</v>
      </c>
      <c r="H8" s="61">
        <f t="shared" si="0"/>
        <v>6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3955296</v>
      </c>
      <c r="E9" s="60">
        <f t="shared" si="1"/>
        <v>0</v>
      </c>
      <c r="F9" s="60">
        <f t="shared" si="1"/>
        <v>-1352713.23</v>
      </c>
      <c r="G9" s="60">
        <f t="shared" si="1"/>
        <v>3</v>
      </c>
      <c r="H9" s="60">
        <f t="shared" si="1"/>
        <v>3</v>
      </c>
    </row>
    <row r="10" spans="1:9" x14ac:dyDescent="0.25">
      <c r="A10" s="108" t="s">
        <v>129</v>
      </c>
      <c r="B10" s="60">
        <v>0</v>
      </c>
      <c r="C10" s="60">
        <v>0</v>
      </c>
      <c r="D10" s="150">
        <v>3955296</v>
      </c>
      <c r="E10" s="60">
        <v>0</v>
      </c>
      <c r="F10" s="150">
        <v>-1352713.23</v>
      </c>
      <c r="G10" s="60">
        <v>1</v>
      </c>
      <c r="H10" s="60">
        <v>1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1</v>
      </c>
      <c r="H11" s="60">
        <v>1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1</v>
      </c>
      <c r="H12" s="60">
        <v>1</v>
      </c>
    </row>
    <row r="13" spans="1:9" ht="14.25" x14ac:dyDescent="0.45">
      <c r="A13" s="107" t="s">
        <v>132</v>
      </c>
      <c r="B13" s="60">
        <f>SUM(B14:B16)</f>
        <v>3</v>
      </c>
      <c r="C13" s="60">
        <f t="shared" ref="C13:H13" si="2">SUM(C14:C16)</f>
        <v>3</v>
      </c>
      <c r="D13" s="60">
        <f t="shared" si="2"/>
        <v>3</v>
      </c>
      <c r="E13" s="60">
        <f t="shared" si="2"/>
        <v>3</v>
      </c>
      <c r="F13" s="60">
        <v>0</v>
      </c>
      <c r="G13" s="60">
        <f t="shared" si="2"/>
        <v>3</v>
      </c>
      <c r="H13" s="60">
        <f t="shared" si="2"/>
        <v>3</v>
      </c>
    </row>
    <row r="14" spans="1:9" x14ac:dyDescent="0.25">
      <c r="A14" s="108" t="s">
        <v>133</v>
      </c>
      <c r="B14" s="60">
        <v>1</v>
      </c>
      <c r="C14" s="60">
        <v>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9" x14ac:dyDescent="0.25">
      <c r="A15" s="108" t="s">
        <v>134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</row>
    <row r="16" spans="1:9" ht="14.25" x14ac:dyDescent="0.45">
      <c r="A16" s="108" t="s">
        <v>135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</v>
      </c>
      <c r="C20" s="61">
        <f t="shared" ref="C20:H20" si="3">C8+C18</f>
        <v>3</v>
      </c>
      <c r="D20" s="61">
        <f t="shared" si="3"/>
        <v>3955299</v>
      </c>
      <c r="E20" s="61">
        <f t="shared" si="3"/>
        <v>3</v>
      </c>
      <c r="F20" s="61">
        <f t="shared" si="3"/>
        <v>-1352712.23</v>
      </c>
      <c r="G20" s="61">
        <f t="shared" si="3"/>
        <v>6</v>
      </c>
      <c r="H20" s="61">
        <f t="shared" si="3"/>
        <v>6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3295</v>
      </c>
      <c r="B22" s="61">
        <f>SUM(B23:DEUDA_CONT_FIN_01)</f>
        <v>3</v>
      </c>
      <c r="C22" s="61">
        <f>SUM(C23:DEUDA_CONT_FIN_02)</f>
        <v>3</v>
      </c>
      <c r="D22" s="61">
        <f>SUM(D23:DEUDA_CONT_FIN_03)</f>
        <v>3</v>
      </c>
      <c r="E22" s="61">
        <f>SUM(E23:DEUDA_CONT_FIN_04)</f>
        <v>3</v>
      </c>
      <c r="F22" s="61">
        <f>SUM(F23:DEUDA_CONT_FIN_05)</f>
        <v>3</v>
      </c>
      <c r="G22" s="61">
        <f>SUM(G23:DEUDA_CONT_FIN_06)</f>
        <v>3</v>
      </c>
      <c r="H22" s="61">
        <f>SUM(H23:DEUDA_CONT_FIN_07)</f>
        <v>3</v>
      </c>
    </row>
    <row r="23" spans="1:8" s="24" customFormat="1" ht="14.25" x14ac:dyDescent="0.45">
      <c r="A23" s="109" t="s">
        <v>441</v>
      </c>
      <c r="B23" s="60">
        <v>1</v>
      </c>
      <c r="C23" s="60">
        <v>1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</row>
    <row r="24" spans="1:8" s="24" customFormat="1" ht="14.25" x14ac:dyDescent="0.45">
      <c r="A24" s="109" t="s">
        <v>442</v>
      </c>
      <c r="B24" s="60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</row>
    <row r="25" spans="1:8" s="24" customFormat="1" ht="14.25" x14ac:dyDescent="0.45">
      <c r="A25" s="109" t="s">
        <v>443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</row>
    <row r="26" spans="1:8" ht="14.25" x14ac:dyDescent="0.4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3</v>
      </c>
      <c r="C27" s="61">
        <f>SUM(C28:VALOR_INS_BCC_FIN_02)</f>
        <v>3</v>
      </c>
      <c r="D27" s="61">
        <f>SUM(D28:VALOR_INS_BCC_FIN_03)</f>
        <v>3</v>
      </c>
      <c r="E27" s="61">
        <f>SUM(E28:VALOR_INS_BCC_FIN_04)</f>
        <v>3</v>
      </c>
      <c r="F27" s="61">
        <f>SUM(F28:VALOR_INS_BCC_FIN_05)</f>
        <v>3</v>
      </c>
      <c r="G27" s="61">
        <f>SUM(G28:VALOR_INS_BCC_FIN_06)</f>
        <v>3</v>
      </c>
      <c r="H27" s="61">
        <f>SUM(H28:VALOR_INS_BCC_FIN_07)</f>
        <v>3</v>
      </c>
    </row>
    <row r="28" spans="1:8" s="24" customFormat="1" x14ac:dyDescent="0.25">
      <c r="A28" s="109" t="s">
        <v>444</v>
      </c>
      <c r="B28" s="60">
        <v>1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60">
        <v>1</v>
      </c>
    </row>
    <row r="29" spans="1:8" s="24" customFormat="1" x14ac:dyDescent="0.25">
      <c r="A29" s="109" t="s">
        <v>445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</row>
    <row r="30" spans="1:8" s="24" customFormat="1" x14ac:dyDescent="0.25">
      <c r="A30" s="109" t="s">
        <v>446</v>
      </c>
      <c r="B30" s="60">
        <v>1</v>
      </c>
      <c r="C30" s="60">
        <v>1</v>
      </c>
      <c r="D30" s="60">
        <v>1</v>
      </c>
      <c r="E30" s="60">
        <v>1</v>
      </c>
      <c r="F30" s="60">
        <v>1</v>
      </c>
      <c r="G30" s="60">
        <v>1</v>
      </c>
      <c r="H30" s="60">
        <v>1</v>
      </c>
    </row>
    <row r="31" spans="1:8" ht="14.25" x14ac:dyDescent="0.4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9" t="s">
        <v>3299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25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25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25">
      <c r="A37" s="169"/>
      <c r="B37" s="169"/>
      <c r="C37" s="169"/>
      <c r="D37" s="169"/>
      <c r="E37" s="169"/>
      <c r="F37" s="169"/>
      <c r="G37" s="169"/>
      <c r="H37" s="169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447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448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449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3</v>
      </c>
      <c r="Q3" s="18">
        <f>'Formato 2'!C8</f>
        <v>3</v>
      </c>
      <c r="R3" s="18">
        <f>'Formato 2'!D8</f>
        <v>3955299</v>
      </c>
      <c r="S3" s="18">
        <f>'Formato 2'!E8</f>
        <v>3</v>
      </c>
      <c r="T3" s="18">
        <f>'Formato 2'!F8</f>
        <v>-1352713.23</v>
      </c>
      <c r="U3" s="18">
        <f>'Formato 2'!G8</f>
        <v>6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3955296</v>
      </c>
      <c r="S4" s="18">
        <f>'Formato 2'!E9</f>
        <v>0</v>
      </c>
      <c r="T4" s="18">
        <f>'Formato 2'!F9</f>
        <v>-1352713.23</v>
      </c>
      <c r="U4" s="18">
        <f>'Formato 2'!G9</f>
        <v>3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3955296</v>
      </c>
      <c r="S5" s="18">
        <f>'Formato 2'!E10</f>
        <v>0</v>
      </c>
      <c r="T5" s="18">
        <f>'Formato 2'!F10</f>
        <v>-1352713.23</v>
      </c>
      <c r="U5" s="18">
        <f>'Formato 2'!G10</f>
        <v>1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1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1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3</v>
      </c>
      <c r="Q8" s="18">
        <f>'Formato 2'!C13</f>
        <v>3</v>
      </c>
      <c r="R8" s="18">
        <f>'Formato 2'!D13</f>
        <v>3</v>
      </c>
      <c r="S8" s="18">
        <f>'Formato 2'!E13</f>
        <v>3</v>
      </c>
      <c r="T8" s="18">
        <f>'Formato 2'!F13</f>
        <v>0</v>
      </c>
      <c r="U8" s="18">
        <f>'Formato 2'!G13</f>
        <v>3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1</v>
      </c>
      <c r="Q9" s="18">
        <f>'Formato 2'!C14</f>
        <v>1</v>
      </c>
      <c r="R9" s="18">
        <f>'Formato 2'!D14</f>
        <v>1</v>
      </c>
      <c r="S9" s="18">
        <f>'Formato 2'!E14</f>
        <v>1</v>
      </c>
      <c r="T9" s="18">
        <f>'Formato 2'!F14</f>
        <v>1</v>
      </c>
      <c r="U9" s="18">
        <f>'Formato 2'!G14</f>
        <v>1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1</v>
      </c>
      <c r="Q10" s="18">
        <f>'Formato 2'!C15</f>
        <v>1</v>
      </c>
      <c r="R10" s="18">
        <f>'Formato 2'!D15</f>
        <v>1</v>
      </c>
      <c r="S10" s="18">
        <f>'Formato 2'!E15</f>
        <v>1</v>
      </c>
      <c r="T10" s="18">
        <f>'Formato 2'!F15</f>
        <v>1</v>
      </c>
      <c r="U10" s="18">
        <f>'Formato 2'!G15</f>
        <v>1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1</v>
      </c>
      <c r="Q11" s="18">
        <f>'Formato 2'!C16</f>
        <v>1</v>
      </c>
      <c r="R11" s="18">
        <f>'Formato 2'!D16</f>
        <v>1</v>
      </c>
      <c r="S11" s="18">
        <f>'Formato 2'!E16</f>
        <v>1</v>
      </c>
      <c r="T11" s="18">
        <f>'Formato 2'!F16</f>
        <v>1</v>
      </c>
      <c r="U11" s="18">
        <f>'Formato 2'!G16</f>
        <v>1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4</v>
      </c>
      <c r="Q13" s="18">
        <f>'Formato 2'!C20</f>
        <v>3</v>
      </c>
      <c r="R13" s="18">
        <f>'Formato 2'!D20</f>
        <v>3955299</v>
      </c>
      <c r="S13" s="18">
        <f>'Formato 2'!E20</f>
        <v>3</v>
      </c>
      <c r="T13" s="18">
        <f>'Formato 2'!F20</f>
        <v>-1352712.23</v>
      </c>
      <c r="U13" s="18">
        <f>'Formato 2'!G20</f>
        <v>6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5"/>
  <sheetViews>
    <sheetView showGridLines="0" topLeftCell="B1" zoomScale="90" zoomScaleNormal="90" workbookViewId="0">
      <selection activeCell="H9" sqref="H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8" t="s">
        <v>542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ht="14.25" x14ac:dyDescent="0.45">
      <c r="A2" s="156" t="str">
        <f>ENTE_PUBLICO_A</f>
        <v>MUNICIPIO DE SAN MIGUEL DE ALLENDE,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25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ht="14.25" x14ac:dyDescent="0.45">
      <c r="A4" s="162" t="str">
        <f>TRIMESTRE</f>
        <v>Del 1 de enero al 30 de junio de 2018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ht="14.25" x14ac:dyDescent="0.45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74366835.560000002</v>
      </c>
      <c r="F8" s="129"/>
      <c r="G8" s="61">
        <f>SUM(G9:APP_FIN_06)</f>
        <v>1483236</v>
      </c>
      <c r="H8" s="61">
        <f>SUM(H9:APP_FIN_07)</f>
        <v>4</v>
      </c>
      <c r="I8" s="61">
        <f>SUM(I9:APP_FIN_08)</f>
        <v>1483236</v>
      </c>
      <c r="J8" s="61">
        <f>SUM(J9:APP_FIN_09)</f>
        <v>27951499.98</v>
      </c>
      <c r="K8" s="61">
        <f>SUM(K9:APP_FIN_10)</f>
        <v>46415335.580000013</v>
      </c>
    </row>
    <row r="9" spans="1:12" s="24" customFormat="1" x14ac:dyDescent="0.25">
      <c r="A9" s="114" t="s">
        <v>156</v>
      </c>
      <c r="B9" s="112">
        <v>40451</v>
      </c>
      <c r="C9" s="112">
        <v>40451</v>
      </c>
      <c r="D9" s="112">
        <v>45936</v>
      </c>
      <c r="E9" s="60">
        <v>36366835.560000002</v>
      </c>
      <c r="F9" s="60">
        <v>120</v>
      </c>
      <c r="G9" s="60">
        <v>607380</v>
      </c>
      <c r="H9" s="60">
        <v>1</v>
      </c>
      <c r="I9" s="60">
        <v>607380</v>
      </c>
      <c r="J9" s="60">
        <v>18021520.899999999</v>
      </c>
      <c r="K9" s="60">
        <f>E9-J9</f>
        <v>18345314.660000004</v>
      </c>
    </row>
    <row r="10" spans="1:12" s="24" customFormat="1" x14ac:dyDescent="0.25">
      <c r="A10" s="114" t="s">
        <v>157</v>
      </c>
      <c r="B10" s="112">
        <v>40582</v>
      </c>
      <c r="C10" s="112">
        <v>40582</v>
      </c>
      <c r="D10" s="112">
        <v>44260</v>
      </c>
      <c r="E10" s="60">
        <v>8000000</v>
      </c>
      <c r="F10" s="60">
        <v>120</v>
      </c>
      <c r="G10" s="60">
        <v>196650</v>
      </c>
      <c r="H10" s="60">
        <v>1</v>
      </c>
      <c r="I10" s="60">
        <v>196650</v>
      </c>
      <c r="J10" s="60">
        <v>2229039.59</v>
      </c>
      <c r="K10" s="60">
        <f t="shared" ref="K10:K16" si="0">E10-J10</f>
        <v>5770960.4100000001</v>
      </c>
    </row>
    <row r="11" spans="1:12" s="24" customFormat="1" x14ac:dyDescent="0.25">
      <c r="A11" s="114" t="s">
        <v>158</v>
      </c>
      <c r="B11" s="112">
        <v>40582</v>
      </c>
      <c r="C11" s="112">
        <v>40582</v>
      </c>
      <c r="D11" s="112">
        <v>44260</v>
      </c>
      <c r="E11" s="60">
        <v>14000000</v>
      </c>
      <c r="F11" s="60">
        <v>120</v>
      </c>
      <c r="G11" s="60">
        <v>349998</v>
      </c>
      <c r="H11" s="60">
        <v>1</v>
      </c>
      <c r="I11" s="60">
        <v>349998</v>
      </c>
      <c r="J11" s="60">
        <v>3966723.99</v>
      </c>
      <c r="K11" s="60">
        <f t="shared" si="0"/>
        <v>10033276.01</v>
      </c>
    </row>
    <row r="12" spans="1:12" s="24" customFormat="1" x14ac:dyDescent="0.25">
      <c r="A12" s="114" t="s">
        <v>3304</v>
      </c>
      <c r="B12" s="112">
        <v>40582</v>
      </c>
      <c r="C12" s="112">
        <v>40582</v>
      </c>
      <c r="D12" s="112">
        <v>44260</v>
      </c>
      <c r="E12" s="60">
        <v>9000000</v>
      </c>
      <c r="F12" s="60">
        <v>120</v>
      </c>
      <c r="G12" s="60">
        <v>226890</v>
      </c>
      <c r="H12" s="60">
        <v>1</v>
      </c>
      <c r="I12" s="60">
        <v>226890</v>
      </c>
      <c r="J12" s="60">
        <v>2571450</v>
      </c>
      <c r="K12" s="60">
        <f t="shared" si="0"/>
        <v>6428550</v>
      </c>
    </row>
    <row r="13" spans="1:12" s="24" customFormat="1" x14ac:dyDescent="0.25">
      <c r="A13" s="114" t="s">
        <v>3305</v>
      </c>
      <c r="B13" s="112">
        <v>40582</v>
      </c>
      <c r="C13" s="112">
        <v>40582</v>
      </c>
      <c r="D13" s="112">
        <v>44260</v>
      </c>
      <c r="E13" s="60">
        <v>2500000</v>
      </c>
      <c r="F13" s="60">
        <v>120</v>
      </c>
      <c r="G13" s="60">
        <v>63024</v>
      </c>
      <c r="H13" s="60"/>
      <c r="I13" s="60">
        <v>63024</v>
      </c>
      <c r="J13" s="60">
        <v>714320</v>
      </c>
      <c r="K13" s="60">
        <f t="shared" si="0"/>
        <v>1785680</v>
      </c>
    </row>
    <row r="14" spans="1:12" s="24" customFormat="1" x14ac:dyDescent="0.25">
      <c r="A14" s="114" t="s">
        <v>3306</v>
      </c>
      <c r="B14" s="112">
        <v>40582</v>
      </c>
      <c r="C14" s="112">
        <v>40582</v>
      </c>
      <c r="D14" s="112">
        <v>44260</v>
      </c>
      <c r="E14" s="60">
        <v>1500000</v>
      </c>
      <c r="F14" s="60">
        <v>120</v>
      </c>
      <c r="G14" s="60">
        <v>12975</v>
      </c>
      <c r="H14" s="60"/>
      <c r="I14" s="60">
        <v>12975</v>
      </c>
      <c r="J14" s="60">
        <v>147115.01</v>
      </c>
      <c r="K14" s="60">
        <f t="shared" si="0"/>
        <v>1352884.99</v>
      </c>
    </row>
    <row r="15" spans="1:12" s="24" customFormat="1" x14ac:dyDescent="0.25">
      <c r="A15" s="114" t="s">
        <v>3307</v>
      </c>
      <c r="B15" s="112">
        <v>40582</v>
      </c>
      <c r="C15" s="112">
        <v>40582</v>
      </c>
      <c r="D15" s="112">
        <v>44260</v>
      </c>
      <c r="E15" s="60">
        <v>1500000</v>
      </c>
      <c r="F15" s="60">
        <v>120</v>
      </c>
      <c r="G15" s="60">
        <v>8649</v>
      </c>
      <c r="H15" s="60"/>
      <c r="I15" s="60">
        <v>8649</v>
      </c>
      <c r="J15" s="60">
        <v>100980.51</v>
      </c>
      <c r="K15" s="60">
        <f t="shared" si="0"/>
        <v>1399019.49</v>
      </c>
    </row>
    <row r="16" spans="1:12" s="24" customFormat="1" x14ac:dyDescent="0.25">
      <c r="A16" s="114" t="s">
        <v>3308</v>
      </c>
      <c r="B16" s="112">
        <v>40582</v>
      </c>
      <c r="C16" s="112">
        <v>40582</v>
      </c>
      <c r="D16" s="112">
        <v>44260</v>
      </c>
      <c r="E16" s="60">
        <v>1500000</v>
      </c>
      <c r="F16" s="60">
        <v>120</v>
      </c>
      <c r="G16" s="60">
        <v>17670</v>
      </c>
      <c r="H16" s="60"/>
      <c r="I16" s="60">
        <v>17670</v>
      </c>
      <c r="J16" s="60">
        <v>200349.98</v>
      </c>
      <c r="K16" s="60">
        <f t="shared" si="0"/>
        <v>1299650.02</v>
      </c>
    </row>
    <row r="17" spans="1:11" ht="14.25" x14ac:dyDescent="0.45">
      <c r="A17" s="115" t="s">
        <v>685</v>
      </c>
      <c r="B17" s="113"/>
      <c r="C17" s="113"/>
      <c r="D17" s="113"/>
      <c r="E17" s="54"/>
      <c r="F17" s="54"/>
      <c r="G17" s="54"/>
      <c r="H17" s="54"/>
      <c r="I17" s="54"/>
      <c r="J17" s="54"/>
      <c r="K17" s="54"/>
    </row>
    <row r="18" spans="1:11" ht="14.25" x14ac:dyDescent="0.45">
      <c r="A18" s="38" t="s">
        <v>159</v>
      </c>
      <c r="B18" s="129"/>
      <c r="C18" s="129"/>
      <c r="D18" s="129"/>
      <c r="E18" s="61">
        <f>SUM(E19:OTROS_FIN_04)</f>
        <v>0</v>
      </c>
      <c r="F18" s="129"/>
      <c r="G18" s="61">
        <f>SUM(G19:OTROS_FIN_06)</f>
        <v>0</v>
      </c>
      <c r="H18" s="61">
        <f>SUM(H19:OTROS_FIN_07)</f>
        <v>0</v>
      </c>
      <c r="I18" s="61">
        <f>SUM(I19:OTROS_FIN_08)</f>
        <v>0</v>
      </c>
      <c r="J18" s="61">
        <f>SUM(J19:OTROS_FIN_09)</f>
        <v>0</v>
      </c>
      <c r="K18" s="61">
        <f>SUM(K19:OTROS_FIN_10)</f>
        <v>0</v>
      </c>
    </row>
    <row r="19" spans="1:11" s="24" customFormat="1" ht="14.25" x14ac:dyDescent="0.45">
      <c r="A19" s="114" t="s">
        <v>160</v>
      </c>
      <c r="B19" s="112"/>
      <c r="C19" s="112"/>
      <c r="D19" s="112"/>
      <c r="E19" s="60"/>
      <c r="F19" s="60"/>
      <c r="G19" s="60"/>
      <c r="H19" s="60"/>
      <c r="I19" s="60"/>
      <c r="J19" s="60"/>
      <c r="K19" s="60"/>
    </row>
    <row r="20" spans="1:11" s="24" customFormat="1" ht="14.25" x14ac:dyDescent="0.45">
      <c r="A20" s="114" t="s">
        <v>161</v>
      </c>
      <c r="B20" s="112"/>
      <c r="C20" s="112"/>
      <c r="D20" s="112"/>
      <c r="E20" s="60"/>
      <c r="F20" s="60"/>
      <c r="G20" s="60"/>
      <c r="H20" s="60"/>
      <c r="I20" s="60"/>
      <c r="J20" s="60"/>
      <c r="K20" s="60"/>
    </row>
    <row r="21" spans="1:11" s="24" customFormat="1" ht="14.25" x14ac:dyDescent="0.45">
      <c r="A21" s="114" t="s">
        <v>162</v>
      </c>
      <c r="B21" s="112"/>
      <c r="C21" s="112"/>
      <c r="D21" s="112"/>
      <c r="E21" s="60"/>
      <c r="F21" s="60"/>
      <c r="G21" s="60"/>
      <c r="H21" s="60"/>
      <c r="I21" s="60"/>
      <c r="J21" s="60"/>
      <c r="K21" s="60"/>
    </row>
    <row r="22" spans="1:11" s="24" customFormat="1" ht="14.25" x14ac:dyDescent="0.45">
      <c r="A22" s="114" t="s">
        <v>163</v>
      </c>
      <c r="B22" s="112"/>
      <c r="C22" s="112"/>
      <c r="D22" s="112"/>
      <c r="E22" s="60"/>
      <c r="F22" s="60"/>
      <c r="G22" s="60"/>
      <c r="H22" s="60"/>
      <c r="I22" s="60"/>
      <c r="J22" s="60"/>
      <c r="K22" s="60"/>
    </row>
    <row r="23" spans="1:11" ht="14.25" x14ac:dyDescent="0.45">
      <c r="A23" s="115" t="s">
        <v>685</v>
      </c>
      <c r="B23" s="113"/>
      <c r="C23" s="113"/>
      <c r="D23" s="113"/>
      <c r="E23" s="54"/>
      <c r="F23" s="54"/>
      <c r="G23" s="54"/>
      <c r="H23" s="54"/>
      <c r="I23" s="54"/>
      <c r="J23" s="54"/>
      <c r="K23" s="54"/>
    </row>
    <row r="24" spans="1:11" ht="14.25" x14ac:dyDescent="0.45">
      <c r="A24" s="38" t="s">
        <v>164</v>
      </c>
      <c r="B24" s="129"/>
      <c r="C24" s="129"/>
      <c r="D24" s="129"/>
      <c r="E24" s="61">
        <f>APP_T4+OTROS_T4</f>
        <v>74366835.560000002</v>
      </c>
      <c r="F24" s="129"/>
      <c r="G24" s="61">
        <f>APP_T6+OTROS_T6</f>
        <v>1483236</v>
      </c>
      <c r="H24" s="61">
        <f>APP_T7+OTROS_T7</f>
        <v>4</v>
      </c>
      <c r="I24" s="61">
        <f>APP_T8+OTROS_T8</f>
        <v>1483236</v>
      </c>
      <c r="J24" s="61">
        <f>APP_T9+OTROS_T9</f>
        <v>27951499.98</v>
      </c>
      <c r="K24" s="61">
        <f>APP_T10+OTROS_T10</f>
        <v>46415335.580000013</v>
      </c>
    </row>
    <row r="25" spans="1:11" ht="14.25" x14ac:dyDescent="0.45">
      <c r="A25" s="58"/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4">
      <formula1>-1.79769313486231E+100</formula1>
      <formula2>1.79769313486231E+100</formula2>
    </dataValidation>
    <dataValidation type="date" operator="greaterThanOrEqual" allowBlank="1" showInputMessage="1" showErrorMessage="1" sqref="B9:D16 B19:D22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74366835.560000002</v>
      </c>
      <c r="T3" s="18"/>
      <c r="U3" s="18">
        <f>APP_T6</f>
        <v>1483236</v>
      </c>
      <c r="V3" s="18">
        <f>APP_T7</f>
        <v>4</v>
      </c>
      <c r="W3">
        <f>APP_T8</f>
        <v>1483236</v>
      </c>
      <c r="X3">
        <f>APP_T9</f>
        <v>27951499.98</v>
      </c>
      <c r="Y3">
        <f>APP_T10</f>
        <v>46415335.580000013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74366835.560000002</v>
      </c>
      <c r="T5" s="18"/>
      <c r="U5" s="18">
        <f>TOTAL_ODF_T6</f>
        <v>1483236</v>
      </c>
      <c r="V5" s="18">
        <f>TOTAL_ODF_T7</f>
        <v>4</v>
      </c>
      <c r="W5" s="18">
        <f>TOTAL_ODF_T8</f>
        <v>1483236</v>
      </c>
      <c r="X5" s="18">
        <f>TOTAL_ODF_T9</f>
        <v>27951499.98</v>
      </c>
      <c r="Y5" s="18">
        <f>TOTAL_ODF_T10</f>
        <v>46415335.580000013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Beatriz Mata Cuellar</cp:lastModifiedBy>
  <cp:lastPrinted>2017-02-04T00:56:20Z</cp:lastPrinted>
  <dcterms:created xsi:type="dcterms:W3CDTF">2017-01-19T17:59:06Z</dcterms:created>
  <dcterms:modified xsi:type="dcterms:W3CDTF">2018-07-30T18:15:57Z</dcterms:modified>
</cp:coreProperties>
</file>