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UENTA PUBLICA\2019\2do TRIMESTRE\DIGITALES\"/>
    </mc:Choice>
  </mc:AlternateContent>
  <xr:revisionPtr revIDLastSave="0" documentId="8_{7A5079CB-4476-4AA7-8E1D-BD4329AA9697}" xr6:coauthVersionLast="43" xr6:coauthVersionMax="43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firstSheet="7" activeTab="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D26" i="9"/>
  <c r="G26" i="9" s="1"/>
  <c r="D25" i="9"/>
  <c r="G25" i="9" s="1"/>
  <c r="D23" i="9"/>
  <c r="G23" i="9" s="1"/>
  <c r="D22" i="9"/>
  <c r="G22" i="9" s="1"/>
  <c r="D19" i="9"/>
  <c r="G19" i="9" s="1"/>
  <c r="D18" i="9"/>
  <c r="G18" i="9" s="1"/>
  <c r="D17" i="9"/>
  <c r="G17" i="9" s="1"/>
  <c r="D15" i="9"/>
  <c r="G15" i="9" s="1"/>
  <c r="D14" i="9"/>
  <c r="G14" i="9" s="1"/>
  <c r="D13" i="9"/>
  <c r="G13" i="9" s="1"/>
  <c r="D11" i="9"/>
  <c r="G11" i="9" s="1"/>
  <c r="D10" i="9"/>
  <c r="G10" i="9" s="1"/>
  <c r="D75" i="8"/>
  <c r="G75" i="8" s="1"/>
  <c r="D74" i="8"/>
  <c r="G74" i="8" s="1"/>
  <c r="D73" i="8"/>
  <c r="G73" i="8" s="1"/>
  <c r="D72" i="8"/>
  <c r="G72" i="8" s="1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G41" i="8"/>
  <c r="D41" i="8"/>
  <c r="G40" i="8"/>
  <c r="D40" i="8"/>
  <c r="G39" i="8"/>
  <c r="D39" i="8"/>
  <c r="G38" i="8"/>
  <c r="D38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G20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D149" i="6"/>
  <c r="G149" i="6" s="1"/>
  <c r="D148" i="6"/>
  <c r="G148" i="6" s="1"/>
  <c r="D147" i="6"/>
  <c r="G147" i="6" s="1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D136" i="6"/>
  <c r="G136" i="6" s="1"/>
  <c r="D135" i="6"/>
  <c r="G135" i="6" s="1"/>
  <c r="D134" i="6"/>
  <c r="G134" i="6" s="1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D133" i="6"/>
  <c r="G133" i="6" s="1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G82" i="6"/>
  <c r="D82" i="6"/>
  <c r="D81" i="6"/>
  <c r="G81" i="6" s="1"/>
  <c r="G80" i="6"/>
  <c r="D80" i="6"/>
  <c r="D79" i="6"/>
  <c r="G79" i="6" s="1"/>
  <c r="G78" i="6"/>
  <c r="D78" i="6"/>
  <c r="D77" i="6"/>
  <c r="G77" i="6" s="1"/>
  <c r="G76" i="6"/>
  <c r="D76" i="6"/>
  <c r="D74" i="6"/>
  <c r="G74" i="6" s="1"/>
  <c r="D73" i="6"/>
  <c r="G73" i="6" s="1"/>
  <c r="D72" i="6"/>
  <c r="G72" i="6" s="1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G61" i="6"/>
  <c r="D61" i="6"/>
  <c r="D60" i="6"/>
  <c r="G60" i="6" s="1"/>
  <c r="G59" i="6"/>
  <c r="D59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G74" i="5" l="1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6" i="5"/>
  <c r="G35" i="5" s="1"/>
  <c r="D36" i="5"/>
  <c r="D35" i="5"/>
  <c r="E35" i="5"/>
  <c r="B35" i="5"/>
  <c r="C35" i="5"/>
  <c r="F35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12" i="2" l="1"/>
  <c r="F11" i="2"/>
  <c r="H9" i="2"/>
  <c r="G9" i="2"/>
  <c r="E9" i="2"/>
  <c r="D9" i="2"/>
  <c r="C9" i="2"/>
  <c r="B9" i="2"/>
  <c r="F9" i="2" s="1"/>
  <c r="F16" i="2"/>
  <c r="F15" i="2"/>
  <c r="F14" i="2"/>
  <c r="G137" i="6" l="1"/>
  <c r="C137" i="6"/>
  <c r="D137" i="6"/>
  <c r="E137" i="6"/>
  <c r="S129" i="24" s="1"/>
  <c r="F137" i="6"/>
  <c r="B137" i="6"/>
  <c r="C62" i="6"/>
  <c r="D62" i="6"/>
  <c r="E62" i="6"/>
  <c r="S55" i="24" s="1"/>
  <c r="F62" i="6"/>
  <c r="G62" i="6"/>
  <c r="B62" i="6"/>
  <c r="B8" i="10"/>
  <c r="C6" i="23"/>
  <c r="A2" i="14" s="1"/>
  <c r="B9" i="1"/>
  <c r="P4" i="15" s="1"/>
  <c r="H25" i="23"/>
  <c r="G25" i="23"/>
  <c r="F25" i="23"/>
  <c r="E25" i="23"/>
  <c r="D25" i="23"/>
  <c r="U23" i="27"/>
  <c r="G24" i="9"/>
  <c r="U11" i="27"/>
  <c r="G71" i="8"/>
  <c r="U63" i="26" s="1"/>
  <c r="U55" i="26"/>
  <c r="U59" i="26"/>
  <c r="G61" i="8"/>
  <c r="U53" i="26" s="1"/>
  <c r="G53" i="8"/>
  <c r="U45" i="26" s="1"/>
  <c r="U4" i="26"/>
  <c r="U8" i="26"/>
  <c r="G10" i="8"/>
  <c r="U16" i="26"/>
  <c r="G19" i="8"/>
  <c r="U12" i="26" s="1"/>
  <c r="U28" i="26"/>
  <c r="G19" i="7"/>
  <c r="U3" i="25" s="1"/>
  <c r="B10" i="6"/>
  <c r="P3" i="24" s="1"/>
  <c r="B18" i="6"/>
  <c r="B28" i="6"/>
  <c r="B38" i="6"/>
  <c r="B48" i="6"/>
  <c r="P41" i="24" s="1"/>
  <c r="B58" i="6"/>
  <c r="B71" i="6"/>
  <c r="P64" i="24" s="1"/>
  <c r="B75" i="6"/>
  <c r="U140" i="24"/>
  <c r="U122" i="24"/>
  <c r="U107" i="24"/>
  <c r="U111" i="24"/>
  <c r="U104" i="24"/>
  <c r="U93" i="24"/>
  <c r="U84" i="24"/>
  <c r="U72" i="24"/>
  <c r="U61" i="24"/>
  <c r="U43" i="24"/>
  <c r="U47" i="24"/>
  <c r="G48" i="6"/>
  <c r="U41" i="24" s="1"/>
  <c r="U40" i="24"/>
  <c r="U29" i="24"/>
  <c r="B7" i="13"/>
  <c r="G16" i="5"/>
  <c r="G28" i="5"/>
  <c r="G37" i="5"/>
  <c r="U31" i="20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/>
  <c r="D18" i="13"/>
  <c r="E18" i="13"/>
  <c r="S12" i="31"/>
  <c r="F18" i="13"/>
  <c r="T12" i="31" s="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/>
  <c r="S22" i="31"/>
  <c r="F7" i="13"/>
  <c r="F29" i="13" s="1"/>
  <c r="T22" i="31" s="1"/>
  <c r="G7" i="13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Q2" i="30" s="1"/>
  <c r="D7" i="12"/>
  <c r="E7" i="12"/>
  <c r="E31" i="12"/>
  <c r="S23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E8" i="11"/>
  <c r="E30" i="11"/>
  <c r="S22" i="29" s="1"/>
  <c r="F8" i="11"/>
  <c r="T2" i="29" s="1"/>
  <c r="G8" i="11"/>
  <c r="G30" i="11" s="1"/>
  <c r="U22" i="29" s="1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D8" i="10"/>
  <c r="R2" i="28" s="1"/>
  <c r="E8" i="10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R5" i="27" s="1"/>
  <c r="D16" i="9"/>
  <c r="E12" i="9"/>
  <c r="E16" i="9"/>
  <c r="F12" i="9"/>
  <c r="T5" i="27" s="1"/>
  <c r="F16" i="9"/>
  <c r="G16" i="9"/>
  <c r="U9" i="27" s="1"/>
  <c r="Q3" i="27"/>
  <c r="R3" i="27"/>
  <c r="S3" i="27"/>
  <c r="T3" i="27"/>
  <c r="U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C21" i="9" s="1"/>
  <c r="Q13" i="27" s="1"/>
  <c r="D24" i="9"/>
  <c r="R16" i="27" s="1"/>
  <c r="D28" i="9"/>
  <c r="E24" i="9"/>
  <c r="E21" i="9" s="1"/>
  <c r="S13" i="27" s="1"/>
  <c r="E28" i="9"/>
  <c r="S20" i="27" s="1"/>
  <c r="F24" i="9"/>
  <c r="F28" i="9"/>
  <c r="F21" i="9"/>
  <c r="T13" i="27" s="1"/>
  <c r="G28" i="9"/>
  <c r="Q14" i="27"/>
  <c r="R14" i="27"/>
  <c r="S14" i="27"/>
  <c r="T14" i="27"/>
  <c r="U14" i="27"/>
  <c r="Q15" i="27"/>
  <c r="R15" i="27"/>
  <c r="S15" i="27"/>
  <c r="T15" i="27"/>
  <c r="U15" i="27"/>
  <c r="Q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P16" i="27" s="1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D10" i="8"/>
  <c r="D19" i="8"/>
  <c r="D27" i="8"/>
  <c r="D37" i="8"/>
  <c r="R30" i="26" s="1"/>
  <c r="E10" i="8"/>
  <c r="E19" i="8"/>
  <c r="E9" i="8" s="1"/>
  <c r="S2" i="26" s="1"/>
  <c r="E27" i="8"/>
  <c r="E37" i="8"/>
  <c r="F10" i="8"/>
  <c r="T3" i="26" s="1"/>
  <c r="F19" i="8"/>
  <c r="T12" i="26" s="1"/>
  <c r="F27" i="8"/>
  <c r="T20" i="26" s="1"/>
  <c r="F37" i="8"/>
  <c r="T30" i="26" s="1"/>
  <c r="Q3" i="26"/>
  <c r="R3" i="26"/>
  <c r="S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0" i="26"/>
  <c r="S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Q53" i="26" s="1"/>
  <c r="C71" i="8"/>
  <c r="D44" i="8"/>
  <c r="R36" i="26" s="1"/>
  <c r="D53" i="8"/>
  <c r="D61" i="8"/>
  <c r="R53" i="26" s="1"/>
  <c r="D71" i="8"/>
  <c r="E44" i="8"/>
  <c r="E53" i="8"/>
  <c r="E61" i="8"/>
  <c r="S53" i="26" s="1"/>
  <c r="E71" i="8"/>
  <c r="F44" i="8"/>
  <c r="T36" i="26" s="1"/>
  <c r="F53" i="8"/>
  <c r="F61" i="8"/>
  <c r="F7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T53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29" i="7" s="1"/>
  <c r="S4" i="25" s="1"/>
  <c r="E19" i="7"/>
  <c r="S3" i="25" s="1"/>
  <c r="D9" i="7"/>
  <c r="D19" i="7"/>
  <c r="R3" i="25" s="1"/>
  <c r="C9" i="7"/>
  <c r="C19" i="7"/>
  <c r="B9" i="7"/>
  <c r="B19" i="7"/>
  <c r="B29" i="7" s="1"/>
  <c r="P4" i="25" s="1"/>
  <c r="A3" i="25"/>
  <c r="A4" i="25"/>
  <c r="A2" i="25"/>
  <c r="A87" i="24"/>
  <c r="C85" i="6"/>
  <c r="C93" i="6"/>
  <c r="C103" i="6"/>
  <c r="C113" i="6"/>
  <c r="C123" i="6"/>
  <c r="Q115" i="24" s="1"/>
  <c r="C146" i="6"/>
  <c r="Q138" i="24" s="1"/>
  <c r="C150" i="6"/>
  <c r="Q142" i="24" s="1"/>
  <c r="D85" i="6"/>
  <c r="R77" i="24" s="1"/>
  <c r="D93" i="6"/>
  <c r="D103" i="6"/>
  <c r="D113" i="6"/>
  <c r="D123" i="6"/>
  <c r="R115" i="24" s="1"/>
  <c r="D146" i="6"/>
  <c r="D150" i="6"/>
  <c r="E85" i="6"/>
  <c r="E93" i="6"/>
  <c r="S85" i="24" s="1"/>
  <c r="E103" i="6"/>
  <c r="E113" i="6"/>
  <c r="S105" i="24" s="1"/>
  <c r="E123" i="6"/>
  <c r="S115" i="24" s="1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46" i="6"/>
  <c r="T138" i="24" s="1"/>
  <c r="F150" i="6"/>
  <c r="G146" i="6"/>
  <c r="U138" i="24" s="1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C48" i="6"/>
  <c r="C58" i="6"/>
  <c r="C71" i="6"/>
  <c r="C75" i="6"/>
  <c r="D10" i="6"/>
  <c r="D18" i="6"/>
  <c r="D28" i="6"/>
  <c r="D38" i="6"/>
  <c r="D48" i="6"/>
  <c r="D58" i="6"/>
  <c r="D71" i="6"/>
  <c r="D75" i="6"/>
  <c r="E10" i="6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F71" i="6"/>
  <c r="F75" i="6"/>
  <c r="G58" i="6"/>
  <c r="U51" i="24" s="1"/>
  <c r="G71" i="6"/>
  <c r="B85" i="6"/>
  <c r="B93" i="6"/>
  <c r="P85" i="24" s="1"/>
  <c r="B103" i="6"/>
  <c r="B113" i="6"/>
  <c r="B123" i="6"/>
  <c r="P11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Q41" i="24"/>
  <c r="R41" i="24"/>
  <c r="S41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U39" i="20"/>
  <c r="U40" i="20"/>
  <c r="U43" i="20"/>
  <c r="U44" i="20"/>
  <c r="U38" i="20"/>
  <c r="U41" i="20"/>
  <c r="U42" i="20"/>
  <c r="U45" i="20"/>
  <c r="U47" i="20"/>
  <c r="U50" i="20"/>
  <c r="G54" i="5"/>
  <c r="U46" i="20" s="1"/>
  <c r="U48" i="20"/>
  <c r="U49" i="20"/>
  <c r="G59" i="5"/>
  <c r="U51" i="20" s="1"/>
  <c r="U52" i="20"/>
  <c r="U53" i="20"/>
  <c r="U54" i="20"/>
  <c r="U55" i="20"/>
  <c r="G67" i="5"/>
  <c r="U57" i="20"/>
  <c r="U58" i="20"/>
  <c r="U60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D41" i="5"/>
  <c r="R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0" s="1"/>
  <c r="G6" i="11"/>
  <c r="H23" i="23"/>
  <c r="F6" i="11" s="1"/>
  <c r="G23" i="23"/>
  <c r="E6" i="11"/>
  <c r="F23" i="23"/>
  <c r="D6" i="11" s="1"/>
  <c r="E23" i="23"/>
  <c r="C6" i="10" s="1"/>
  <c r="C6" i="11"/>
  <c r="E6" i="10"/>
  <c r="D6" i="10"/>
  <c r="G5" i="13"/>
  <c r="G5" i="12"/>
  <c r="C11" i="23"/>
  <c r="A2" i="13" s="1"/>
  <c r="A2" i="11"/>
  <c r="A2" i="10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I8" i="3"/>
  <c r="I20" i="3" s="1"/>
  <c r="W5" i="17" s="1"/>
  <c r="H14" i="3"/>
  <c r="G14" i="3"/>
  <c r="E14" i="3"/>
  <c r="K9" i="3"/>
  <c r="K10" i="3"/>
  <c r="K8" i="3" s="1"/>
  <c r="K11" i="3"/>
  <c r="K12" i="3"/>
  <c r="J8" i="3"/>
  <c r="X3" i="17" s="1"/>
  <c r="H8" i="3"/>
  <c r="G8" i="3"/>
  <c r="G20" i="3"/>
  <c r="U5" i="17" s="1"/>
  <c r="E8" i="3"/>
  <c r="E20" i="3" s="1"/>
  <c r="F41" i="2"/>
  <c r="E41" i="2"/>
  <c r="S17" i="16" s="1"/>
  <c r="D41" i="2"/>
  <c r="R17" i="16"/>
  <c r="C41" i="2"/>
  <c r="H27" i="2"/>
  <c r="V15" i="16" s="1"/>
  <c r="G27" i="2"/>
  <c r="U15" i="16" s="1"/>
  <c r="F27" i="2"/>
  <c r="E27" i="2"/>
  <c r="D27" i="2"/>
  <c r="C27" i="2"/>
  <c r="Q15" i="16"/>
  <c r="B41" i="2"/>
  <c r="P17" i="16" s="1"/>
  <c r="B27" i="2"/>
  <c r="H22" i="2"/>
  <c r="G22" i="2"/>
  <c r="U14" i="16" s="1"/>
  <c r="F22" i="2"/>
  <c r="E22" i="2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72" i="4" s="1"/>
  <c r="P38" i="18" s="1"/>
  <c r="B55" i="4"/>
  <c r="B53" i="4"/>
  <c r="P30" i="18" s="1"/>
  <c r="B49" i="4"/>
  <c r="P27" i="18" s="1"/>
  <c r="B48" i="4"/>
  <c r="P26" i="18" s="1"/>
  <c r="B37" i="4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P91" i="15" s="1"/>
  <c r="E57" i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Q20" i="15" s="1"/>
  <c r="C31" i="1"/>
  <c r="C38" i="1"/>
  <c r="Q37" i="15"/>
  <c r="C60" i="1"/>
  <c r="Q53" i="15" s="1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C72" i="4" s="1"/>
  <c r="C74" i="4" s="1"/>
  <c r="Q39" i="18" s="1"/>
  <c r="D64" i="4"/>
  <c r="R33" i="18" s="1"/>
  <c r="C63" i="4"/>
  <c r="D63" i="4"/>
  <c r="R32" i="18" s="1"/>
  <c r="C48" i="4"/>
  <c r="C55" i="4"/>
  <c r="Q31" i="18" s="1"/>
  <c r="D55" i="4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R15" i="18" s="1"/>
  <c r="C40" i="4"/>
  <c r="D40" i="4"/>
  <c r="R22" i="18" s="1"/>
  <c r="C37" i="4"/>
  <c r="Q19" i="18" s="1"/>
  <c r="D37" i="4"/>
  <c r="R19" i="18" s="1"/>
  <c r="C17" i="4"/>
  <c r="C13" i="4"/>
  <c r="Q6" i="18" s="1"/>
  <c r="D13" i="4"/>
  <c r="R6" i="18" s="1"/>
  <c r="U4" i="17"/>
  <c r="W4" i="17"/>
  <c r="V4" i="17"/>
  <c r="W3" i="17"/>
  <c r="S4" i="17"/>
  <c r="Q17" i="16"/>
  <c r="T17" i="16"/>
  <c r="R15" i="16"/>
  <c r="S15" i="16"/>
  <c r="T15" i="16"/>
  <c r="P15" i="16"/>
  <c r="Q14" i="16"/>
  <c r="V14" i="16"/>
  <c r="P14" i="16"/>
  <c r="C13" i="2"/>
  <c r="Q8" i="16" s="1"/>
  <c r="D13" i="2"/>
  <c r="R8" i="16"/>
  <c r="E13" i="2"/>
  <c r="S8" i="16" s="1"/>
  <c r="F13" i="2"/>
  <c r="T8" i="16" s="1"/>
  <c r="G13" i="2"/>
  <c r="U8" i="16" s="1"/>
  <c r="H13" i="2"/>
  <c r="V8" i="16"/>
  <c r="B13" i="2"/>
  <c r="B8" i="2" s="1"/>
  <c r="B20" i="2" s="1"/>
  <c r="P13" i="16" s="1"/>
  <c r="P8" i="16"/>
  <c r="Q4" i="16"/>
  <c r="R4" i="16"/>
  <c r="S4" i="16"/>
  <c r="T4" i="16"/>
  <c r="U4" i="16"/>
  <c r="H8" i="2"/>
  <c r="H20" i="2" s="1"/>
  <c r="V13" i="16" s="1"/>
  <c r="P4" i="16"/>
  <c r="Q9" i="18"/>
  <c r="Q22" i="18"/>
  <c r="R31" i="18"/>
  <c r="Q32" i="18"/>
  <c r="Q36" i="18"/>
  <c r="R30" i="18"/>
  <c r="Q26" i="18"/>
  <c r="Q33" i="18"/>
  <c r="S5" i="17"/>
  <c r="S3" i="17"/>
  <c r="S14" i="16"/>
  <c r="T14" i="16"/>
  <c r="C44" i="4"/>
  <c r="Q5" i="18" s="1"/>
  <c r="F8" i="2"/>
  <c r="F20" i="2" s="1"/>
  <c r="T13" i="16" s="1"/>
  <c r="C8" i="2"/>
  <c r="Q3" i="16" s="1"/>
  <c r="Q38" i="18"/>
  <c r="C8" i="4"/>
  <c r="Q67" i="15"/>
  <c r="U3" i="17"/>
  <c r="P2" i="25"/>
  <c r="Q2" i="25"/>
  <c r="B31" i="12" l="1"/>
  <c r="P23" i="30" s="1"/>
  <c r="G31" i="12"/>
  <c r="U23" i="30" s="1"/>
  <c r="P2" i="30"/>
  <c r="Q2" i="29"/>
  <c r="Q20" i="27"/>
  <c r="B21" i="9"/>
  <c r="P13" i="27" s="1"/>
  <c r="S16" i="27"/>
  <c r="D21" i="9"/>
  <c r="R13" i="27" s="1"/>
  <c r="B43" i="8"/>
  <c r="P35" i="26" s="1"/>
  <c r="S12" i="26"/>
  <c r="F9" i="8"/>
  <c r="T2" i="26" s="1"/>
  <c r="B9" i="8"/>
  <c r="P2" i="26" s="1"/>
  <c r="P3" i="25"/>
  <c r="D84" i="6"/>
  <c r="R76" i="24" s="1"/>
  <c r="B84" i="6"/>
  <c r="P76" i="24" s="1"/>
  <c r="F84" i="6"/>
  <c r="T76" i="24" s="1"/>
  <c r="T85" i="24"/>
  <c r="B9" i="6"/>
  <c r="P2" i="24" s="1"/>
  <c r="D9" i="6"/>
  <c r="R11" i="24"/>
  <c r="F65" i="5"/>
  <c r="T56" i="20" s="1"/>
  <c r="B65" i="5"/>
  <c r="P56" i="20" s="1"/>
  <c r="D65" i="5"/>
  <c r="R56" i="20" s="1"/>
  <c r="E65" i="5"/>
  <c r="S56" i="20" s="1"/>
  <c r="F41" i="5"/>
  <c r="E41" i="5"/>
  <c r="S34" i="20" s="1"/>
  <c r="D70" i="5"/>
  <c r="Q25" i="18"/>
  <c r="D44" i="4"/>
  <c r="B74" i="4"/>
  <c r="P39" i="18" s="1"/>
  <c r="C21" i="4"/>
  <c r="Q12" i="18" s="1"/>
  <c r="D72" i="4"/>
  <c r="R38" i="18" s="1"/>
  <c r="P32" i="18"/>
  <c r="B57" i="4"/>
  <c r="B59" i="4" s="1"/>
  <c r="C20" i="2"/>
  <c r="Q13" i="16" s="1"/>
  <c r="V3" i="16"/>
  <c r="D8" i="2"/>
  <c r="V4" i="16"/>
  <c r="E79" i="1"/>
  <c r="P119" i="15" s="1"/>
  <c r="E47" i="1"/>
  <c r="P67" i="15"/>
  <c r="B47" i="1"/>
  <c r="P42" i="15" s="1"/>
  <c r="D8" i="4"/>
  <c r="R5" i="18"/>
  <c r="C23" i="4"/>
  <c r="T3" i="16"/>
  <c r="C57" i="4"/>
  <c r="C59" i="4" s="1"/>
  <c r="R12" i="31"/>
  <c r="D29" i="13"/>
  <c r="R22" i="31" s="1"/>
  <c r="G10" i="6"/>
  <c r="U4" i="24"/>
  <c r="G18" i="6"/>
  <c r="U11" i="24" s="1"/>
  <c r="G28" i="6"/>
  <c r="U21" i="24" s="1"/>
  <c r="U25" i="24"/>
  <c r="G75" i="6"/>
  <c r="U68" i="24" s="1"/>
  <c r="U69" i="24"/>
  <c r="G85" i="6"/>
  <c r="U80" i="24"/>
  <c r="G93" i="6"/>
  <c r="U85" i="24" s="1"/>
  <c r="U89" i="24"/>
  <c r="U100" i="24"/>
  <c r="G103" i="6"/>
  <c r="U95" i="24" s="1"/>
  <c r="U127" i="24"/>
  <c r="U125" i="24"/>
  <c r="G150" i="6"/>
  <c r="U142" i="24" s="1"/>
  <c r="U147" i="24"/>
  <c r="R25" i="18"/>
  <c r="D57" i="4"/>
  <c r="D59" i="4" s="1"/>
  <c r="E59" i="1"/>
  <c r="P95" i="15"/>
  <c r="J20" i="3"/>
  <c r="X5" i="17" s="1"/>
  <c r="P22" i="20"/>
  <c r="B41" i="5"/>
  <c r="S2" i="28"/>
  <c r="E32" i="10"/>
  <c r="S23" i="28" s="1"/>
  <c r="Q2" i="31"/>
  <c r="Q110" i="15"/>
  <c r="F79" i="1"/>
  <c r="Q119" i="15" s="1"/>
  <c r="F47" i="1"/>
  <c r="E8" i="2"/>
  <c r="G38" i="6"/>
  <c r="U31" i="24" s="1"/>
  <c r="U36" i="24"/>
  <c r="G113" i="6"/>
  <c r="U105" i="24" s="1"/>
  <c r="U106" i="24"/>
  <c r="U118" i="24"/>
  <c r="G123" i="6"/>
  <c r="U115" i="24" s="1"/>
  <c r="B159" i="6"/>
  <c r="P150" i="24" s="1"/>
  <c r="G9" i="7"/>
  <c r="Q2" i="18"/>
  <c r="P3" i="16"/>
  <c r="G8" i="2"/>
  <c r="C47" i="1"/>
  <c r="Q12" i="15"/>
  <c r="B44" i="4"/>
  <c r="P19" i="18"/>
  <c r="K20" i="3"/>
  <c r="Y5" i="17" s="1"/>
  <c r="E6" i="1"/>
  <c r="C65" i="5"/>
  <c r="Q56" i="20" s="1"/>
  <c r="C41" i="5"/>
  <c r="D43" i="8"/>
  <c r="R45" i="26"/>
  <c r="U61" i="20"/>
  <c r="G75" i="5"/>
  <c r="U62" i="20" s="1"/>
  <c r="U42" i="24"/>
  <c r="E84" i="6"/>
  <c r="S76" i="24" s="1"/>
  <c r="C29" i="7"/>
  <c r="Q4" i="25" s="1"/>
  <c r="Q3" i="25"/>
  <c r="F9" i="9"/>
  <c r="T9" i="27"/>
  <c r="D9" i="9"/>
  <c r="R9" i="27"/>
  <c r="A2" i="12"/>
  <c r="C84" i="6"/>
  <c r="Q76" i="24" s="1"/>
  <c r="Q95" i="24"/>
  <c r="E43" i="8"/>
  <c r="S63" i="26"/>
  <c r="D9" i="8"/>
  <c r="R2" i="26" s="1"/>
  <c r="R21" i="28"/>
  <c r="D32" i="10"/>
  <c r="R23" i="28" s="1"/>
  <c r="D31" i="12"/>
  <c r="R23" i="30" s="1"/>
  <c r="R2" i="30"/>
  <c r="G29" i="13"/>
  <c r="U22" i="31" s="1"/>
  <c r="U2" i="31"/>
  <c r="U6" i="27"/>
  <c r="G12" i="9"/>
  <c r="G21" i="9"/>
  <c r="U16" i="27"/>
  <c r="P106" i="15"/>
  <c r="B6" i="10"/>
  <c r="F6" i="10"/>
  <c r="P37" i="20"/>
  <c r="G45" i="5"/>
  <c r="P95" i="24"/>
  <c r="F9" i="6"/>
  <c r="C9" i="6"/>
  <c r="C43" i="8"/>
  <c r="Q63" i="26"/>
  <c r="E9" i="9"/>
  <c r="S9" i="27"/>
  <c r="C9" i="9"/>
  <c r="Q9" i="27"/>
  <c r="U2" i="28"/>
  <c r="G32" i="10"/>
  <c r="U23" i="28" s="1"/>
  <c r="Q2" i="28"/>
  <c r="C32" i="10"/>
  <c r="Q23" i="28" s="1"/>
  <c r="T12" i="29"/>
  <c r="F30" i="11"/>
  <c r="T22" i="29" s="1"/>
  <c r="P12" i="29"/>
  <c r="B30" i="11"/>
  <c r="P22" i="29" s="1"/>
  <c r="F31" i="12"/>
  <c r="T23" i="30" s="1"/>
  <c r="C31" i="12"/>
  <c r="Q23" i="30" s="1"/>
  <c r="G41" i="5"/>
  <c r="G27" i="8"/>
  <c r="U20" i="26" s="1"/>
  <c r="U24" i="26"/>
  <c r="U3" i="26"/>
  <c r="G9" i="8"/>
  <c r="U2" i="26" s="1"/>
  <c r="U32" i="26"/>
  <c r="G37" i="8"/>
  <c r="U30" i="26" s="1"/>
  <c r="G44" i="8"/>
  <c r="H20" i="3"/>
  <c r="V5" i="17" s="1"/>
  <c r="E9" i="6"/>
  <c r="D29" i="7"/>
  <c r="R4" i="25" s="1"/>
  <c r="R2" i="25"/>
  <c r="T45" i="26"/>
  <c r="F43" i="8"/>
  <c r="Q12" i="26"/>
  <c r="C9" i="8"/>
  <c r="Q2" i="26" s="1"/>
  <c r="P9" i="27"/>
  <c r="B9" i="9"/>
  <c r="T21" i="28"/>
  <c r="F32" i="10"/>
  <c r="T23" i="28" s="1"/>
  <c r="D30" i="11"/>
  <c r="R22" i="29" s="1"/>
  <c r="R2" i="29"/>
  <c r="P12" i="31"/>
  <c r="B29" i="13"/>
  <c r="P22" i="31" s="1"/>
  <c r="C7" i="23"/>
  <c r="V3" i="17"/>
  <c r="Y3" i="17"/>
  <c r="S2" i="25"/>
  <c r="F29" i="7"/>
  <c r="T4" i="25" s="1"/>
  <c r="B77" i="8" l="1"/>
  <c r="P68" i="26" s="1"/>
  <c r="D159" i="6"/>
  <c r="R150" i="24" s="1"/>
  <c r="R2" i="24"/>
  <c r="E70" i="5"/>
  <c r="F70" i="5"/>
  <c r="T34" i="20"/>
  <c r="D74" i="4"/>
  <c r="R39" i="18" s="1"/>
  <c r="R3" i="16"/>
  <c r="D20" i="2"/>
  <c r="R13" i="16" s="1"/>
  <c r="B62" i="1"/>
  <c r="P54" i="15" s="1"/>
  <c r="G42" i="5"/>
  <c r="U35" i="20" s="1"/>
  <c r="U34" i="20"/>
  <c r="Q35" i="26"/>
  <c r="C77" i="8"/>
  <c r="Q68" i="26" s="1"/>
  <c r="G29" i="7"/>
  <c r="U4" i="25" s="1"/>
  <c r="U2" i="25"/>
  <c r="E81" i="1"/>
  <c r="P120" i="15" s="1"/>
  <c r="P104" i="15"/>
  <c r="U36" i="26"/>
  <c r="G43" i="8"/>
  <c r="C159" i="6"/>
  <c r="Q150" i="24" s="1"/>
  <c r="Q2" i="24"/>
  <c r="S35" i="26"/>
  <c r="E77" i="8"/>
  <c r="S68" i="26" s="1"/>
  <c r="F33" i="9"/>
  <c r="T24" i="27" s="1"/>
  <c r="T2" i="27"/>
  <c r="P25" i="18"/>
  <c r="E20" i="2"/>
  <c r="S13" i="16" s="1"/>
  <c r="S3" i="16"/>
  <c r="Q13" i="18"/>
  <c r="C25" i="4"/>
  <c r="U37" i="20"/>
  <c r="G65" i="5"/>
  <c r="U56" i="20" s="1"/>
  <c r="B70" i="5"/>
  <c r="P34" i="20"/>
  <c r="G84" i="6"/>
  <c r="U76" i="24" s="1"/>
  <c r="U77" i="24"/>
  <c r="S2" i="27"/>
  <c r="E33" i="9"/>
  <c r="S24" i="27" s="1"/>
  <c r="F159" i="6"/>
  <c r="T150" i="24" s="1"/>
  <c r="T2" i="24"/>
  <c r="U13" i="27"/>
  <c r="Q95" i="15"/>
  <c r="F59" i="1"/>
  <c r="Q2" i="27"/>
  <c r="C33" i="9"/>
  <c r="Q24" i="27" s="1"/>
  <c r="Q34" i="20"/>
  <c r="C70" i="5"/>
  <c r="G20" i="2"/>
  <c r="U13" i="16" s="1"/>
  <c r="U3" i="16"/>
  <c r="P2" i="27"/>
  <c r="B33" i="9"/>
  <c r="P24" i="27" s="1"/>
  <c r="F77" i="8"/>
  <c r="T68" i="26" s="1"/>
  <c r="T35" i="26"/>
  <c r="S2" i="24"/>
  <c r="E159" i="6"/>
  <c r="S150" i="24" s="1"/>
  <c r="G9" i="9"/>
  <c r="U2" i="27" s="1"/>
  <c r="U5" i="27"/>
  <c r="D33" i="9"/>
  <c r="R24" i="27" s="1"/>
  <c r="R2" i="27"/>
  <c r="D77" i="8"/>
  <c r="R68" i="26" s="1"/>
  <c r="R35" i="26"/>
  <c r="Q42" i="15"/>
  <c r="C62" i="1"/>
  <c r="Q54" i="15" s="1"/>
  <c r="U3" i="24"/>
  <c r="G9" i="6"/>
  <c r="R2" i="18"/>
  <c r="D21" i="4"/>
  <c r="A2" i="6"/>
  <c r="A2" i="5"/>
  <c r="A2" i="1"/>
  <c r="A2" i="9"/>
  <c r="A2" i="7"/>
  <c r="A2" i="4"/>
  <c r="A2" i="2"/>
  <c r="A2" i="8"/>
  <c r="A2" i="3"/>
  <c r="G159" i="6" l="1"/>
  <c r="U150" i="24" s="1"/>
  <c r="U2" i="24"/>
  <c r="Q14" i="18"/>
  <c r="C33" i="4"/>
  <c r="Q18" i="18" s="1"/>
  <c r="U35" i="26"/>
  <c r="G77" i="8"/>
  <c r="U68" i="26" s="1"/>
  <c r="G70" i="5"/>
  <c r="G33" i="9"/>
  <c r="U24" i="27" s="1"/>
  <c r="P5" i="18"/>
  <c r="B8" i="4"/>
  <c r="D23" i="4"/>
  <c r="R12" i="18"/>
  <c r="Q104" i="15"/>
  <c r="F81" i="1"/>
  <c r="Q120" i="15" s="1"/>
  <c r="D25" i="4" l="1"/>
  <c r="R13" i="18"/>
  <c r="B21" i="4"/>
  <c r="P2" i="18"/>
  <c r="B23" i="4" l="1"/>
  <c r="P12" i="18"/>
  <c r="R14" i="18"/>
  <c r="D33" i="4"/>
  <c r="R18" i="18" s="1"/>
  <c r="B25" i="4" l="1"/>
  <c r="P13" i="18"/>
  <c r="P14" i="18" l="1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<sst xmlns="http://schemas.openxmlformats.org/spreadsheetml/2006/main" count="4243" uniqueCount="3305">
  <si>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</si>
  <si>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</si>
  <si>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</si>
  <si>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</si>
  <si>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</si>
  <si>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</si>
  <si>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</si>
  <si>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</si>
  <si>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</si>
  <si>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</si>
  <si>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</si>
  <si>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</si>
  <si>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</si>
  <si>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</si>
  <si>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</si>
  <si>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</si>
  <si>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</si>
  <si>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</si>
  <si>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</si>
  <si>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</si>
  <si>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</si>
  <si>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</si>
  <si>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</si>
  <si>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</si>
  <si>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</si>
  <si>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</si>
  <si>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</si>
  <si>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</si>
  <si>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</si>
  <si>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</si>
  <si>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</si>
  <si>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</si>
  <si>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</si>
  <si>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</si>
  <si>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</si>
  <si>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</si>
  <si>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</si>
  <si>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</si>
  <si>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</si>
  <si>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</si>
  <si>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</si>
  <si>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</si>
  <si>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</si>
  <si>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</si>
  <si>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</si>
  <si>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</si>
  <si>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</si>
  <si>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</si>
  <si>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</si>
  <si>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</si>
  <si>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</si>
  <si>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</si>
  <si>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</si>
  <si>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</si>
  <si>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</si>
  <si>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</si>
  <si>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</si>
  <si>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</si>
  <si>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</si>
  <si>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</si>
  <si>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</si>
  <si>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</si>
  <si>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</si>
  <si>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</si>
  <si>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</si>
  <si>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</si>
  <si>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</si>
  <si>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</si>
  <si>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</si>
  <si>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</si>
  <si>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</si>
  <si>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</si>
  <si>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</si>
  <si>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</si>
  <si>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</si>
  <si>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</si>
  <si>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</si>
  <si>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</si>
  <si>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</si>
  <si>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</si>
  <si>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</si>
  <si>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</si>
  <si>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</si>
  <si>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</si>
  <si>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</si>
  <si>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</si>
  <si>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</si>
  <si>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</si>
  <si>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</si>
  <si>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</si>
  <si>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</si>
  <si>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</si>
  <si>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</si>
  <si>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</si>
  <si>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</si>
  <si>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</si>
  <si>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</si>
  <si>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</si>
  <si>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</si>
  <si>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</si>
  <si>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</si>
  <si>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</si>
  <si>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</si>
  <si>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</si>
  <si>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</si>
  <si>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</si>
  <si>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</si>
  <si>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</si>
  <si>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</si>
  <si>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</si>
  <si>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</si>
  <si>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</si>
  <si>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</si>
  <si>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</si>
  <si>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</si>
  <si>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</si>
  <si>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</si>
  <si>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</si>
  <si>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</si>
  <si>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</si>
  <si>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</si>
  <si>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</si>
  <si>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</si>
  <si>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</si>
  <si>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</si>
  <si>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</si>
  <si>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</si>
  <si>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</si>
  <si>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</si>
  <si>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</si>
  <si>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</si>
  <si>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</si>
  <si>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</si>
  <si>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</si>
  <si>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</si>
  <si>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</si>
  <si>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</si>
  <si>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</si>
  <si>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</si>
  <si>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</si>
  <si>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</si>
  <si>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</si>
  <si>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</si>
  <si>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</si>
  <si>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</si>
  <si>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</si>
  <si>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</si>
  <si>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</si>
  <si>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</si>
  <si>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</si>
  <si>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</si>
  <si>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</si>
  <si>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</si>
  <si>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</si>
  <si>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</si>
  <si>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</si>
  <si>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</si>
  <si>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</si>
  <si>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</si>
  <si>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</si>
  <si>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</si>
  <si>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</si>
  <si>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</si>
  <si>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</si>
  <si>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</si>
  <si>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</si>
  <si>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</si>
  <si>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</si>
  <si>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</si>
  <si>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</si>
  <si>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</si>
  <si>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</si>
  <si>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</si>
  <si>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</si>
  <si>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</si>
  <si>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</si>
  <si>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</si>
  <si>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</si>
  <si>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</si>
  <si>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</si>
  <si>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</si>
  <si>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</si>
  <si>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</si>
  <si>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</si>
  <si>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</si>
  <si>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</si>
  <si>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</si>
  <si>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</si>
  <si>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</si>
  <si>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</si>
  <si>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</si>
  <si>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</si>
  <si>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</si>
  <si>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</si>
  <si>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</si>
  <si>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</si>
  <si>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</si>
  <si>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</si>
  <si>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</si>
  <si>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</si>
  <si>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</si>
  <si>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</si>
  <si>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</si>
  <si>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</si>
  <si>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</si>
  <si>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</si>
  <si>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</si>
  <si>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</si>
  <si>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</si>
  <si>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</si>
  <si>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</si>
  <si>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</si>
  <si>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</si>
  <si>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</si>
  <si>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</si>
  <si>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</si>
  <si>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</si>
  <si>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</si>
  <si>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</si>
  <si>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</si>
  <si>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</si>
  <si>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</si>
  <si>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</si>
  <si>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</si>
  <si>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</si>
  <si>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</si>
  <si>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</si>
  <si>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</si>
  <si>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</si>
  <si>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</si>
  <si>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</si>
  <si>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</si>
  <si>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</si>
  <si>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</si>
  <si>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</si>
  <si>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</si>
  <si>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</si>
  <si>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</si>
  <si>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</si>
  <si>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</si>
  <si>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</si>
  <si>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</si>
  <si>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</si>
  <si>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</si>
  <si>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</si>
  <si>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</si>
  <si>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</si>
  <si>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</si>
  <si>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</si>
  <si>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</si>
  <si>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</si>
  <si>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</si>
  <si>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</si>
  <si>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</si>
  <si>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</si>
  <si>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</si>
  <si>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</si>
  <si>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</si>
  <si>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</si>
  <si>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</si>
  <si>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</si>
  <si>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</si>
  <si>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</si>
  <si>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</si>
  <si>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</si>
  <si>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</si>
  <si>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</si>
  <si>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</si>
  <si>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</si>
  <si>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</si>
  <si>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</si>
  <si>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</si>
  <si>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</si>
  <si>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</si>
  <si>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</si>
  <si>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</si>
  <si>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</si>
  <si>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</si>
  <si>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</si>
  <si>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</si>
  <si>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</si>
  <si>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</si>
  <si>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</si>
  <si>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</si>
  <si>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</si>
  <si>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</si>
  <si>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</si>
  <si>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</si>
  <si>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</si>
  <si>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</si>
  <si>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</si>
  <si>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</si>
  <si>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</si>
  <si>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</si>
  <si>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</si>
  <si>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</si>
  <si>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</si>
  <si>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</si>
  <si>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</si>
  <si>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</si>
  <si>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</si>
  <si>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</si>
  <si>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</si>
  <si>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</si>
  <si>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</si>
  <si>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</si>
  <si>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</si>
  <si>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</si>
  <si>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</si>
  <si>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</si>
  <si>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</si>
  <si>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</si>
  <si>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</si>
  <si>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</si>
  <si>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</si>
  <si>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</si>
  <si>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</si>
  <si>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</si>
  <si>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</si>
  <si>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</si>
  <si>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</si>
  <si>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</si>
  <si>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</si>
  <si>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</si>
  <si>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</si>
  <si>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</si>
  <si>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</si>
  <si>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</si>
  <si>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</si>
  <si>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</si>
  <si>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</si>
  <si>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</si>
  <si>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</si>
  <si>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</si>
  <si>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</si>
  <si>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</si>
  <si>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</si>
  <si>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</si>
  <si>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</si>
  <si>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</si>
  <si>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</si>
  <si>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</si>
  <si>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</si>
  <si>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</si>
  <si>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</si>
  <si>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</si>
  <si>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</si>
  <si>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</si>
  <si>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</si>
  <si>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</si>
  <si>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</si>
  <si>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</si>
  <si>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</si>
  <si>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</si>
  <si>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</si>
  <si>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</si>
  <si>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</si>
  <si>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</si>
  <si>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</si>
  <si>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</si>
  <si>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</si>
  <si>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</si>
  <si>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</si>
  <si>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</si>
  <si>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</si>
  <si>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</si>
  <si>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</si>
  <si>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</si>
  <si>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</si>
  <si>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</si>
  <si>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</si>
  <si>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</si>
  <si>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</si>
  <si>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</si>
  <si>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</si>
  <si>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</si>
  <si>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</si>
  <si>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</si>
  <si>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</si>
  <si>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</si>
  <si>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</si>
  <si>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</si>
  <si>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</si>
  <si>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</si>
  <si>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</si>
  <si>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</si>
  <si>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</si>
  <si>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</si>
  <si>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</si>
  <si>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</si>
  <si>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</si>
  <si>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</si>
  <si>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</si>
  <si>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</si>
  <si>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</si>
  <si>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</si>
  <si>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</si>
  <si>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</si>
  <si>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</si>
  <si>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</si>
  <si>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</si>
  <si>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</si>
  <si>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</si>
  <si>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</si>
  <si>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</si>
  <si>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</si>
  <si>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</si>
  <si>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</si>
  <si>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</si>
  <si>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</si>
  <si>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</si>
  <si>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</si>
  <si>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</si>
  <si>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</si>
  <si>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</si>
  <si>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</si>
  <si>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</si>
  <si>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</si>
  <si>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</si>
  <si>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</si>
  <si>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</si>
  <si>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</si>
  <si>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</si>
  <si>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</si>
  <si>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</si>
  <si>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</si>
  <si>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</si>
  <si>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</si>
  <si>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</si>
  <si>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</si>
  <si>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</si>
  <si>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</si>
  <si>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</si>
  <si>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</si>
  <si>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</si>
  <si>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</si>
  <si>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</si>
  <si>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</si>
  <si>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</si>
  <si>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</si>
  <si>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</si>
  <si>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</si>
  <si>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</si>
  <si>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</si>
  <si>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</si>
  <si>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</si>
  <si>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</si>
  <si>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</si>
  <si>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</si>
  <si>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</si>
  <si>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</si>
  <si>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</si>
  <si>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</si>
  <si>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</si>
  <si>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</si>
  <si>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</si>
  <si>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</si>
  <si>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</si>
  <si>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</si>
  <si>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</si>
  <si>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</si>
  <si>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</si>
  <si>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</si>
  <si>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</si>
  <si>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</si>
  <si>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</si>
  <si>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</si>
  <si>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</si>
  <si>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</si>
  <si>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</si>
  <si>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</si>
  <si>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</si>
  <si>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</si>
  <si>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</si>
  <si>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</si>
  <si>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</si>
  <si>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</si>
  <si>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</si>
  <si>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</si>
  <si>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</si>
  <si>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</si>
  <si>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</si>
  <si>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</si>
  <si>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</si>
  <si>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</si>
  <si>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</si>
  <si>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</si>
  <si>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</si>
  <si>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</si>
  <si>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</si>
  <si>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</si>
  <si>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</si>
  <si>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</si>
  <si>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</si>
  <si>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</si>
  <si>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</si>
  <si>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</si>
  <si>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</si>
  <si>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</si>
  <si>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</si>
  <si>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</si>
  <si>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</si>
  <si>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</si>
  <si>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</si>
  <si>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</si>
  <si>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</si>
  <si>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</si>
  <si>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</si>
  <si>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</si>
  <si>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</si>
  <si>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</si>
  <si>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</si>
  <si>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</si>
  <si>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</si>
  <si>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</si>
  <si>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</si>
  <si>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</si>
  <si>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</si>
  <si>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</si>
  <si>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</si>
  <si>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</si>
  <si>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</si>
  <si>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</si>
  <si>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</si>
  <si>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</si>
  <si>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</si>
  <si>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</si>
  <si>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</si>
  <si>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</si>
  <si>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</si>
  <si>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</si>
  <si>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</si>
  <si>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</si>
  <si>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</si>
  <si>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</si>
  <si>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</si>
  <si>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</si>
  <si>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</si>
  <si>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</si>
  <si>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</si>
  <si>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</si>
  <si>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</si>
  <si>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</si>
  <si>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</si>
  <si>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</si>
  <si>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</si>
  <si>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</si>
  <si>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</si>
  <si>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</si>
  <si>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</si>
  <si>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</si>
  <si>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</si>
  <si>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</si>
  <si>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</si>
  <si>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</si>
  <si>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</si>
  <si>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</si>
  <si>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</si>
  <si>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</si>
  <si>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</si>
  <si>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</si>
  <si>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</si>
  <si>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</si>
  <si>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</si>
  <si>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</si>
  <si>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</si>
  <si>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</si>
  <si>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</si>
  <si>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</si>
  <si>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</si>
  <si>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</si>
  <si>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</si>
  <si>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</si>
  <si>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</si>
  <si>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</si>
  <si>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</si>
  <si>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</si>
  <si>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</si>
  <si>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</si>
  <si>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</si>
  <si>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</si>
  <si>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</si>
  <si>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</si>
  <si>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</si>
  <si>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</si>
  <si>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</si>
  <si>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</si>
  <si>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</si>
  <si>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</si>
  <si>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</si>
  <si>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</si>
  <si>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</si>
  <si>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</si>
  <si>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</si>
  <si>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</si>
  <si>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</si>
  <si>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</si>
  <si>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</si>
  <si>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</si>
  <si>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</si>
  <si>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</si>
  <si>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</si>
  <si>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</si>
  <si>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</si>
  <si>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</si>
  <si>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</si>
  <si>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</si>
  <si>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</si>
  <si>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</si>
  <si>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</si>
  <si>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</si>
  <si>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</si>
  <si>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</si>
  <si>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</si>
  <si>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</si>
  <si>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</si>
  <si>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</si>
  <si>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</si>
  <si>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</si>
  <si>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</si>
  <si>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</si>
  <si>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</si>
  <si>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</si>
  <si>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</si>
  <si>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</si>
  <si>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</si>
  <si>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</si>
  <si>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</si>
  <si>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</si>
  <si>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</si>
  <si>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</si>
  <si>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</si>
  <si>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</si>
  <si>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</si>
  <si>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</si>
  <si>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</si>
  <si>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</si>
  <si>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</si>
  <si>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</si>
  <si>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</si>
  <si>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</si>
  <si>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</si>
  <si>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</si>
  <si>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</si>
  <si>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</si>
  <si>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</si>
  <si>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</si>
  <si>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</si>
  <si>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</si>
  <si>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</si>
  <si>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</si>
  <si>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</si>
  <si>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</si>
  <si>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</si>
  <si>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</si>
  <si>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</si>
  <si>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</si>
  <si>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</si>
  <si>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</si>
  <si>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</si>
  <si>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</si>
  <si>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</si>
  <si>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</si>
  <si>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</si>
  <si>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</si>
  <si>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</si>
  <si>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</si>
  <si>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</si>
  <si>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</si>
  <si>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</si>
  <si>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</si>
  <si>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</si>
  <si>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</si>
  <si>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</si>
  <si>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</si>
  <si>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</si>
  <si>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</si>
  <si>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</si>
  <si>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</si>
  <si>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</si>
  <si>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</si>
  <si>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</si>
  <si>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</si>
  <si>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</si>
  <si>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</si>
  <si>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</si>
  <si>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</si>
  <si>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</si>
  <si>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</si>
  <si>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</si>
  <si>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</si>
  <si>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</si>
  <si>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</si>
  <si>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</si>
  <si>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</si>
  <si>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</si>
  <si>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</si>
  <si>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</si>
  <si>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</si>
  <si>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</si>
  <si>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</si>
  <si>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</si>
  <si>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</si>
  <si>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</si>
  <si>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</si>
  <si>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</si>
  <si>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</si>
  <si>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</si>
  <si>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</si>
  <si>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</si>
  <si>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</si>
  <si>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</si>
  <si>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</si>
  <si>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</si>
  <si>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</si>
  <si>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</si>
  <si>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</si>
  <si>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</si>
  <si>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</si>
  <si>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</si>
  <si>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</si>
  <si>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</si>
  <si>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</si>
  <si>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</si>
  <si>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</si>
  <si>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</si>
  <si>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</si>
  <si>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</si>
  <si>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</si>
  <si>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</si>
  <si>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</si>
  <si>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</si>
  <si>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</si>
  <si>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</si>
  <si>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</si>
  <si>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</si>
  <si>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</si>
  <si>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</si>
  <si>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</si>
  <si>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</si>
  <si>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</si>
  <si>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</si>
  <si>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</si>
  <si>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</si>
  <si>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</si>
  <si>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</si>
  <si>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</si>
  <si>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</si>
  <si>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</si>
  <si>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</si>
  <si>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</si>
  <si>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</si>
  <si>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</si>
  <si>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</si>
  <si>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</si>
  <si>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</si>
  <si>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</si>
  <si>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</si>
  <si>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</si>
  <si>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</si>
  <si>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</si>
  <si>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</si>
  <si>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</si>
  <si>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</si>
  <si>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</si>
  <si>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</si>
  <si>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</si>
  <si>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</si>
  <si>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</si>
  <si>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</si>
  <si>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</si>
  <si>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</si>
  <si>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</si>
  <si>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</si>
  <si>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</si>
  <si>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</si>
  <si>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</si>
  <si>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</si>
  <si>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</si>
  <si>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</si>
  <si>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</si>
  <si>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</si>
  <si>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</si>
  <si>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</si>
  <si>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</si>
  <si>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</si>
  <si>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</si>
  <si>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</si>
  <si>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</si>
  <si>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</si>
  <si>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</si>
  <si>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</si>
  <si>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</si>
  <si>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</si>
  <si>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</si>
  <si>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</si>
  <si>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</si>
  <si>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</si>
  <si>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</si>
  <si>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</si>
  <si>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</si>
  <si>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</si>
  <si>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</si>
  <si>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</si>
  <si>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</si>
  <si>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</si>
  <si>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</si>
  <si>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</si>
  <si>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</si>
  <si>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</si>
  <si>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</si>
  <si>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</si>
  <si>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</si>
  <si>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</si>
  <si>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</si>
  <si>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</si>
  <si>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</si>
  <si>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</si>
  <si>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</si>
  <si>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</si>
  <si>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</si>
  <si>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</si>
  <si>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</si>
  <si>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</si>
  <si>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</si>
  <si>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</si>
  <si>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</si>
  <si>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</si>
  <si>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</si>
  <si>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</si>
  <si>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</si>
  <si>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</si>
  <si>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</si>
  <si>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</si>
  <si>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</si>
  <si>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</si>
  <si>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</si>
  <si>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</si>
  <si>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</si>
  <si>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</si>
  <si>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</si>
  <si>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</si>
  <si>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</si>
  <si>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</si>
  <si>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</si>
  <si>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</si>
  <si>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</si>
  <si>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</si>
  <si>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</si>
  <si>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</si>
  <si>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</si>
  <si>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</si>
  <si>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</si>
  <si>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</si>
  <si>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</si>
  <si>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</si>
  <si>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</si>
  <si>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</si>
  <si>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</si>
  <si>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</si>
  <si>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</si>
  <si>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</si>
  <si>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</si>
  <si>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</si>
  <si>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</si>
  <si>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</si>
  <si>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</si>
  <si>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</si>
  <si>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</si>
  <si>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</si>
  <si>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</si>
  <si>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</si>
  <si>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</si>
  <si>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</si>
  <si>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</si>
  <si>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</si>
  <si>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</si>
  <si>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</si>
  <si>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</si>
  <si>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</si>
  <si>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</si>
  <si>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</si>
  <si>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</si>
  <si>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</si>
  <si>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</si>
  <si>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</si>
  <si>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</si>
  <si>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</si>
  <si>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</si>
  <si>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</si>
  <si>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</si>
  <si>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</si>
  <si>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</si>
  <si>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</si>
  <si>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</si>
  <si>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</si>
  <si>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</si>
  <si>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</si>
  <si>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</si>
  <si>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</si>
  <si>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</si>
  <si>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</si>
  <si>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</si>
  <si>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</si>
  <si>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</si>
  <si>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</si>
  <si>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</si>
  <si>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</si>
  <si>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</si>
  <si>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</si>
  <si>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</si>
  <si>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</si>
  <si>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</si>
  <si>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</si>
  <si>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</si>
  <si>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</si>
  <si>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</si>
  <si>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</si>
  <si>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</si>
  <si>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</si>
  <si>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</si>
  <si>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</si>
  <si>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</si>
  <si>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</si>
  <si>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</si>
  <si>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</si>
  <si>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</si>
  <si>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</si>
  <si>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</si>
  <si>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</si>
  <si>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</si>
  <si>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</si>
  <si>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</si>
  <si>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</si>
  <si>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</si>
  <si>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</si>
  <si>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</si>
  <si>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</si>
  <si>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</si>
  <si>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</si>
  <si>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</si>
  <si>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</si>
  <si>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</si>
  <si>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</si>
  <si>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</si>
  <si>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</si>
  <si>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</si>
  <si>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</si>
  <si>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</si>
  <si>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</si>
  <si>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</si>
  <si>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</si>
  <si>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</si>
  <si>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</si>
  <si>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</si>
  <si>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</si>
  <si>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</si>
  <si>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</si>
  <si>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</si>
  <si>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</si>
  <si>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</si>
  <si>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</si>
  <si>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</si>
  <si>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</si>
  <si>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</si>
  <si>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</si>
  <si>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</si>
  <si>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</si>
  <si>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</si>
  <si>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</si>
  <si>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</si>
  <si>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</si>
  <si>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</si>
  <si>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</si>
  <si>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</si>
  <si>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</si>
  <si>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</si>
  <si>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</si>
  <si>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</si>
  <si>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</si>
  <si>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</si>
  <si>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</si>
  <si>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</si>
  <si>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</si>
  <si>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</si>
  <si>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</si>
  <si>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</si>
  <si>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</si>
  <si>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</si>
  <si>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</si>
  <si>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</si>
  <si>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</si>
  <si>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</si>
  <si>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</si>
  <si>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</si>
  <si>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</si>
  <si>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</si>
  <si>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</si>
  <si>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</si>
  <si>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</si>
  <si>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</si>
  <si>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</si>
  <si>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</si>
  <si>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</si>
  <si>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</si>
  <si>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</si>
  <si>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</si>
  <si>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</si>
  <si>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</si>
  <si>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</si>
  <si>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</si>
  <si>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</si>
  <si>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</si>
  <si>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</si>
  <si>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</si>
  <si>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</si>
  <si>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</si>
  <si>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</si>
  <si>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</si>
  <si>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</si>
  <si>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</si>
  <si>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</si>
  <si>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</si>
  <si>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</si>
  <si>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</si>
  <si>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</si>
  <si>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</si>
  <si>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</si>
  <si>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</si>
  <si>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</si>
  <si>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</si>
  <si>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</si>
  <si>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</si>
  <si>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</si>
  <si>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</si>
  <si>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</si>
  <si>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</si>
  <si>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</si>
  <si>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</si>
  <si>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</si>
  <si>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</si>
  <si>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</si>
  <si>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</si>
  <si>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</si>
  <si>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</si>
  <si>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</si>
  <si>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</si>
  <si>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</si>
  <si>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</si>
  <si>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</si>
  <si>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</si>
  <si>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</si>
  <si>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</si>
  <si>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</si>
  <si>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</si>
  <si>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</si>
  <si>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</si>
  <si>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</si>
  <si>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</si>
  <si>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</si>
  <si>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</si>
  <si>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</si>
  <si>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</si>
  <si>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</si>
  <si>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</si>
  <si>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</si>
  <si>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</si>
  <si>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</si>
  <si>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</si>
  <si>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</si>
  <si>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</si>
  <si>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</si>
  <si>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</si>
  <si>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</si>
  <si>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</si>
  <si>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</si>
  <si>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</si>
  <si>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</si>
  <si>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</si>
  <si>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</si>
  <si>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</si>
  <si>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</si>
  <si>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</si>
  <si>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</si>
  <si>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</si>
  <si>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</si>
  <si>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</si>
  <si>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</si>
  <si>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</si>
  <si>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</si>
  <si>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</si>
  <si>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</si>
  <si>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</si>
  <si>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</si>
  <si>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</si>
  <si>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</si>
  <si>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</si>
  <si>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</si>
  <si>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</si>
  <si>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</si>
  <si>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</si>
  <si>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</si>
  <si>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</si>
  <si>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</si>
  <si>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</si>
  <si>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</si>
  <si>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</si>
  <si>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</si>
  <si>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</si>
  <si>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</si>
  <si>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</si>
  <si>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</si>
  <si>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</si>
  <si>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</si>
  <si>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</si>
  <si>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</si>
  <si>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</si>
  <si>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</si>
  <si>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</si>
  <si>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</si>
  <si>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</si>
  <si>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</si>
  <si>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</si>
  <si>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</si>
  <si>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</si>
  <si>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</si>
  <si>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</si>
  <si>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</si>
  <si>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</si>
  <si>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</si>
  <si>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</si>
  <si>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</si>
  <si>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</si>
  <si>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</si>
  <si>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</si>
  <si>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</si>
  <si>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</si>
  <si>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</si>
  <si>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</si>
  <si>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</si>
  <si>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</si>
  <si>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</si>
  <si>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</si>
  <si>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</si>
  <si>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</si>
  <si>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</si>
  <si>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</si>
  <si>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</si>
  <si>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</si>
  <si>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</si>
  <si>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</si>
  <si>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</si>
  <si>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</si>
  <si>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</si>
  <si>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</si>
  <si>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</si>
  <si>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</si>
  <si>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</si>
  <si>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</si>
  <si>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</si>
  <si>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</si>
  <si>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</si>
  <si>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</si>
  <si>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</si>
  <si>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</si>
  <si>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</si>
  <si>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</si>
  <si>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</si>
  <si>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</si>
  <si>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</si>
  <si>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</si>
  <si>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</si>
  <si>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</si>
  <si>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</si>
  <si>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</si>
  <si>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</si>
  <si>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</si>
  <si>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</si>
  <si>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</si>
  <si>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</si>
  <si>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</si>
  <si>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</si>
  <si>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</si>
  <si>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</si>
  <si>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</si>
  <si>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</si>
  <si>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</si>
  <si>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</si>
  <si>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</si>
  <si>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</si>
  <si>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</si>
  <si>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</si>
  <si>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</si>
  <si>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</si>
  <si>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</si>
  <si>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</si>
  <si>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</si>
  <si>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</si>
  <si>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</si>
  <si>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</si>
  <si>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</si>
  <si>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</si>
  <si>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</si>
  <si>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</si>
  <si>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</si>
  <si>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</si>
  <si>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</si>
  <si>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</si>
  <si>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</si>
  <si>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</si>
  <si>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</si>
  <si>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</si>
  <si>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</si>
  <si>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</si>
  <si>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</si>
  <si>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</si>
  <si>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</si>
  <si>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</si>
  <si>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</si>
  <si>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</si>
  <si>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</si>
  <si>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</si>
  <si>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</si>
  <si>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</si>
  <si>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</si>
  <si>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</si>
  <si>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</si>
  <si>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</si>
  <si>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</si>
  <si>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</si>
  <si>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</si>
  <si>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</si>
  <si>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</si>
  <si>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</si>
  <si>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</si>
  <si>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</si>
  <si>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</si>
  <si>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</si>
  <si>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</si>
  <si>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</si>
  <si>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</si>
  <si>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</si>
  <si>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</si>
  <si>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</si>
  <si>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</si>
  <si>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</si>
  <si>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</si>
  <si>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</si>
  <si>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</si>
  <si>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</si>
  <si>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</si>
  <si>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</si>
  <si>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</si>
  <si>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</si>
  <si>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</si>
  <si>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</si>
  <si>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</si>
  <si>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</si>
  <si>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</si>
  <si>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</si>
  <si>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</si>
  <si>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</si>
  <si>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</si>
  <si>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</si>
  <si>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</si>
  <si>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</si>
  <si>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</si>
  <si>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</si>
  <si>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</si>
  <si>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</si>
  <si>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</si>
  <si>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</si>
  <si>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</si>
  <si>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</si>
  <si>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</si>
  <si>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</si>
  <si>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</si>
  <si>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</si>
  <si>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</si>
  <si>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</si>
  <si>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</si>
  <si>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</si>
  <si>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</si>
  <si>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</si>
  <si>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</si>
  <si>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</si>
  <si>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</si>
  <si>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</si>
  <si>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</si>
  <si>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</si>
  <si>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</si>
  <si>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</si>
  <si>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</si>
  <si>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</si>
  <si>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</si>
  <si>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</si>
  <si>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</si>
  <si>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</si>
  <si>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</si>
  <si>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</si>
  <si>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</si>
  <si>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</si>
  <si>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</si>
  <si>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</si>
  <si>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</si>
  <si>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</si>
  <si>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</si>
  <si>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</si>
  <si>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</si>
  <si>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</si>
  <si>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</si>
  <si>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</si>
  <si>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</si>
  <si>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</si>
  <si>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</si>
  <si>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</si>
  <si>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</si>
  <si>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</si>
  <si>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</si>
  <si>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</si>
  <si>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</si>
  <si>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</si>
  <si>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</si>
  <si>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</si>
  <si>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</si>
  <si>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</si>
  <si>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</si>
  <si>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</si>
  <si>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</si>
  <si>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</si>
  <si>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</si>
  <si>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</si>
  <si>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</si>
  <si>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</si>
  <si>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</si>
  <si>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</si>
  <si>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</si>
  <si>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</si>
  <si>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</si>
  <si>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</si>
  <si>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</si>
  <si>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</si>
  <si>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</si>
  <si>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</si>
  <si>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</si>
  <si>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</si>
  <si>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</si>
  <si>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</si>
  <si>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</si>
  <si>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</si>
  <si>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</si>
  <si>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</si>
  <si>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</si>
  <si>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</si>
  <si>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</si>
  <si>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</si>
  <si>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</si>
  <si>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</si>
  <si>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</si>
  <si>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</si>
  <si>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</si>
  <si>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</si>
  <si>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</si>
  <si>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</si>
  <si>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</si>
  <si>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</si>
  <si>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</si>
  <si>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</si>
  <si>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</si>
  <si>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</si>
  <si>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</si>
  <si>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</si>
  <si>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</si>
  <si>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</si>
  <si>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</si>
  <si>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</si>
  <si>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</si>
  <si>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</si>
  <si>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</si>
  <si>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</si>
  <si>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</si>
  <si>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</si>
  <si>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</si>
  <si>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</si>
  <si>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</si>
  <si>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</si>
  <si>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</si>
  <si>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</si>
  <si>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</si>
  <si>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</si>
  <si>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</si>
  <si>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</si>
  <si>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</si>
  <si>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</si>
  <si>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</si>
  <si>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</si>
  <si>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</si>
  <si>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</si>
  <si>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</si>
  <si>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</si>
  <si>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</si>
  <si>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</si>
  <si>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</si>
  <si>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</si>
  <si>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</si>
  <si>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</si>
  <si>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</si>
  <si>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</si>
  <si>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</si>
  <si>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</si>
  <si>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</si>
  <si>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</si>
  <si>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</si>
  <si>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</si>
  <si>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</si>
  <si>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</si>
  <si>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</si>
  <si>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</si>
  <si>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</si>
  <si>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</si>
  <si>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</si>
  <si>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</si>
  <si>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</si>
  <si>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</si>
  <si>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</si>
  <si>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</si>
  <si>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</si>
  <si>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</si>
  <si>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</si>
  <si>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</si>
  <si>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</si>
  <si>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</si>
  <si>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</si>
  <si>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</si>
  <si>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</si>
  <si>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</si>
  <si>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</si>
  <si>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</si>
  <si>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</si>
  <si>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</si>
  <si>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</si>
  <si>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</si>
  <si>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</si>
  <si>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</si>
  <si>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</si>
  <si>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</si>
  <si>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</si>
  <si>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</si>
  <si>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</si>
  <si>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</si>
  <si>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</si>
  <si>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</si>
  <si>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</si>
  <si>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</si>
  <si>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</si>
  <si>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</si>
  <si>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</si>
  <si>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</si>
  <si>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</si>
  <si>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</si>
  <si>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</si>
  <si>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</si>
  <si>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</si>
  <si>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</si>
  <si>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</si>
  <si>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</si>
  <si>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</si>
  <si>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</si>
  <si>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</si>
  <si>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</si>
  <si>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</si>
  <si>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</si>
  <si>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</si>
  <si>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</si>
  <si>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</si>
  <si>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</si>
  <si>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</si>
  <si>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</si>
  <si>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</si>
  <si>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</si>
  <si>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</si>
  <si>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</si>
  <si>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</si>
  <si>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</si>
  <si>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</si>
  <si>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</si>
  <si>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</si>
  <si>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</si>
  <si>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</si>
  <si>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</si>
  <si>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</si>
  <si>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</si>
  <si>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</si>
  <si>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</si>
  <si>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</si>
  <si>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</si>
  <si>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</si>
  <si>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</si>
  <si>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</si>
  <si>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</si>
  <si>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</si>
  <si>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</si>
  <si>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</si>
  <si>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</si>
  <si>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</si>
  <si>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</si>
  <si>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</si>
  <si>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</si>
  <si>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</si>
  <si>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</si>
  <si>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</si>
  <si>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</si>
  <si>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</si>
  <si>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</si>
  <si>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</si>
  <si>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</si>
  <si>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</si>
  <si>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</si>
  <si>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</si>
  <si>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</si>
  <si>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</si>
  <si>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</si>
  <si>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</si>
  <si>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</si>
  <si>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</si>
  <si>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</si>
  <si>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</si>
  <si>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</si>
  <si>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</si>
  <si>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</si>
  <si>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</si>
  <si>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</si>
  <si>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</si>
  <si>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</si>
  <si>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</si>
  <si>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</si>
  <si>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</si>
  <si>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</si>
  <si>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</si>
  <si>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</si>
  <si>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</si>
  <si>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</si>
  <si>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</si>
  <si>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</si>
  <si>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</si>
  <si>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</si>
  <si>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</si>
  <si>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</si>
  <si>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</si>
  <si>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</si>
  <si>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</si>
  <si>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</si>
  <si>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</si>
  <si>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</si>
  <si>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</si>
  <si>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</si>
  <si>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</si>
  <si>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</si>
  <si>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</si>
  <si>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</si>
  <si>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</si>
  <si>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</si>
  <si>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</si>
  <si>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</si>
  <si>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</si>
  <si>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</si>
  <si>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</si>
  <si>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</si>
  <si>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</si>
  <si>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</si>
  <si>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</si>
  <si>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</si>
  <si>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</si>
  <si>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</si>
  <si>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</si>
  <si>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</si>
  <si>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</si>
  <si>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</si>
  <si>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</si>
  <si>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</si>
  <si>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</si>
  <si>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</si>
  <si>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</si>
  <si>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</si>
  <si>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</si>
  <si>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</si>
  <si>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</si>
  <si>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</si>
  <si>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</si>
  <si>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</si>
  <si>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</si>
  <si>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</si>
  <si>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</si>
  <si>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</si>
  <si>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</si>
  <si>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</si>
  <si>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</si>
  <si>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</si>
  <si>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</si>
  <si>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</si>
  <si>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</si>
  <si>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</si>
  <si>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</si>
  <si>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</si>
  <si>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</si>
  <si>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</si>
  <si>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</si>
  <si>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</si>
  <si>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</si>
  <si>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</si>
  <si>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</si>
  <si>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</si>
  <si>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</si>
  <si>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</si>
  <si>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</si>
  <si>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</si>
  <si>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</si>
  <si>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</si>
  <si>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</si>
  <si>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</si>
  <si>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</si>
  <si>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</si>
  <si>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</si>
  <si>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</si>
  <si>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</si>
  <si>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</si>
  <si>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</si>
  <si>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</si>
  <si>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</si>
  <si>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</si>
  <si>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</si>
  <si>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</si>
  <si>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</si>
  <si>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</si>
  <si>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</si>
  <si>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</si>
  <si>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</si>
  <si>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</si>
  <si>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</si>
  <si>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</si>
  <si>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</si>
  <si>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</si>
  <si>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</si>
  <si>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</si>
  <si>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</si>
  <si>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</si>
  <si>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</si>
  <si>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</si>
  <si>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</si>
  <si>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</si>
  <si>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</si>
  <si>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</si>
  <si>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</si>
  <si>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</si>
  <si>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</si>
  <si>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</si>
  <si>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</si>
  <si>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</si>
  <si>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</si>
  <si>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</si>
  <si>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</si>
  <si>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</si>
  <si>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</si>
  <si>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</si>
  <si>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</si>
  <si>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</si>
  <si>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</si>
  <si>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</si>
  <si>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</si>
  <si>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</si>
  <si>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</si>
  <si>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</si>
  <si>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</si>
  <si>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</si>
  <si>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</si>
  <si>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</si>
  <si>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</si>
  <si>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</si>
  <si>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</si>
  <si>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</si>
  <si>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</si>
  <si>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</si>
  <si>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</si>
  <si>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</si>
  <si>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</si>
  <si>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</si>
  <si>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</si>
  <si>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</si>
  <si>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</si>
  <si>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</si>
  <si>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</si>
  <si>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</si>
  <si>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</si>
  <si>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</si>
  <si>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</si>
  <si>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</si>
  <si>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</si>
  <si>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</si>
  <si>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</si>
  <si>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</si>
  <si>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</si>
  <si>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</si>
  <si>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</si>
  <si>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</si>
  <si>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</si>
  <si>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</si>
  <si>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</si>
  <si>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</si>
  <si>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</si>
  <si>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</si>
  <si>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</si>
  <si>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</si>
  <si>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</si>
  <si>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</si>
  <si>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</si>
  <si>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</si>
  <si>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</si>
  <si>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</si>
  <si>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</si>
  <si>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</si>
  <si>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</si>
  <si>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</si>
  <si>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</si>
  <si>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</si>
  <si>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</si>
  <si>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</si>
  <si>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</si>
  <si>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</si>
  <si>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</si>
  <si>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</si>
  <si>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</si>
  <si>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</si>
  <si>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</si>
  <si>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</si>
  <si>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</si>
  <si>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</si>
  <si>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</si>
  <si>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</si>
  <si>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</si>
  <si>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</si>
  <si>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</si>
  <si>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</si>
  <si>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</si>
  <si>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</si>
  <si>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</si>
  <si>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</si>
  <si>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</si>
  <si>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</si>
  <si>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</si>
  <si>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</si>
  <si>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</si>
  <si>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</si>
  <si>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</si>
  <si>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</si>
  <si>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</si>
  <si>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</si>
  <si>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</si>
  <si>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</si>
  <si>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</si>
  <si>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</si>
  <si>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</si>
  <si>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</si>
  <si>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</si>
  <si>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</si>
  <si>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</si>
  <si>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</si>
  <si>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</si>
  <si>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</si>
  <si>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</si>
  <si>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</si>
  <si>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</si>
  <si>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</si>
  <si>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</si>
  <si>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</si>
  <si>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</si>
  <si>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</si>
  <si>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</si>
  <si>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</si>
  <si>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</si>
  <si>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</si>
  <si>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</si>
  <si>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</si>
  <si>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</si>
  <si>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</si>
  <si>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</si>
  <si>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</si>
  <si>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</si>
  <si>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</si>
  <si>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</si>
  <si>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</si>
  <si>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</si>
  <si>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</si>
  <si>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</si>
  <si>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</si>
  <si>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</si>
  <si>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</si>
  <si>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</si>
  <si>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</si>
  <si>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</si>
  <si>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</si>
  <si>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</si>
  <si>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</si>
  <si>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</si>
  <si>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</si>
  <si>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</si>
  <si>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</si>
  <si>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</si>
  <si>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</si>
  <si>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</si>
  <si>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</si>
  <si>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</si>
  <si>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</si>
  <si>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</si>
  <si>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</si>
  <si>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</si>
  <si>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</si>
  <si>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</si>
  <si>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</si>
  <si>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</si>
  <si>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</si>
  <si>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</si>
  <si>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</si>
  <si>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</si>
  <si>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</si>
  <si>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</si>
  <si>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</si>
  <si>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</si>
  <si>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</si>
  <si>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</si>
  <si>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</si>
  <si>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</si>
  <si>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</si>
  <si>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</si>
  <si>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</si>
  <si>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</si>
  <si>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</si>
  <si>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</si>
  <si>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</si>
  <si>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</si>
  <si>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</si>
  <si>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</si>
  <si>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</si>
  <si>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</si>
  <si>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</si>
  <si>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</si>
  <si>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</si>
  <si>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</si>
  <si>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</si>
  <si>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</si>
  <si>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</si>
  <si>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</si>
  <si>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</si>
  <si>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</si>
  <si>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</si>
  <si>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</si>
  <si>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</si>
  <si>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</si>
  <si>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</si>
  <si>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</si>
  <si>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</si>
  <si>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</si>
  <si>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</si>
  <si>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</si>
  <si>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</si>
  <si>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</si>
  <si>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</si>
  <si>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</si>
  <si>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</si>
  <si>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</si>
  <si>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</si>
  <si>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</si>
  <si>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</si>
  <si>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</si>
  <si>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</si>
  <si>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</si>
  <si>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</si>
  <si>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</si>
  <si>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</si>
  <si>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</si>
  <si>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</si>
  <si>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</si>
  <si>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</si>
  <si>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</si>
  <si>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</si>
  <si>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</si>
  <si>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</si>
  <si>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</si>
  <si>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</si>
  <si>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</si>
  <si>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</si>
  <si>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</si>
  <si>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</si>
  <si>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</si>
  <si>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</si>
  <si>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</si>
  <si>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</si>
  <si>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</si>
  <si>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</si>
  <si>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</si>
  <si>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</si>
  <si>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</si>
  <si>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</si>
  <si>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</si>
  <si>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</si>
  <si>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</si>
  <si>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</si>
  <si>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</si>
  <si>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</si>
  <si>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</si>
  <si>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</si>
  <si>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</si>
  <si>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</si>
  <si>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</si>
  <si>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</si>
  <si>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</si>
  <si>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</si>
  <si>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</si>
  <si>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</si>
  <si>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</si>
  <si>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</si>
  <si>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</si>
  <si>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</si>
  <si>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</si>
  <si>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</si>
  <si>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</si>
  <si>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</si>
  <si>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</si>
  <si>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</si>
  <si>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</si>
  <si>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</si>
  <si>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</si>
  <si>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</si>
  <si>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</si>
  <si>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</si>
  <si>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</si>
  <si>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</si>
  <si>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</si>
  <si>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</si>
  <si>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</si>
  <si>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</si>
  <si>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</si>
  <si>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</si>
  <si>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</si>
  <si>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</si>
  <si>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</si>
  <si>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</si>
  <si>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</si>
  <si>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</si>
  <si>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</si>
  <si>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</si>
  <si>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</si>
  <si>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</si>
  <si>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</si>
  <si>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</si>
  <si>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</si>
  <si>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</si>
  <si>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</si>
  <si>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</si>
  <si>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</si>
  <si>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</si>
  <si>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</si>
  <si>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</si>
  <si>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</si>
  <si>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</si>
  <si>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</si>
  <si>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</si>
  <si>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</si>
  <si>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</si>
  <si>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</si>
  <si>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</si>
  <si>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</si>
  <si>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</si>
  <si>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</si>
  <si>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</si>
  <si>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</si>
  <si>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</si>
  <si>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</si>
  <si>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</si>
  <si>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</si>
  <si>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</si>
  <si>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</si>
  <si>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</si>
  <si>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</si>
  <si>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</si>
  <si>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</si>
  <si>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</si>
  <si>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</si>
  <si>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</si>
  <si>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</si>
  <si>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</si>
  <si>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</si>
  <si>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</si>
  <si>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</si>
  <si>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</si>
  <si>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</si>
  <si>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</si>
  <si>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</si>
  <si>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</si>
  <si>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</si>
  <si>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</si>
  <si>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</si>
  <si>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</si>
  <si>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</si>
  <si>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</si>
  <si>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</si>
  <si>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</si>
  <si>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</si>
  <si>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</si>
  <si>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</si>
  <si>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</si>
  <si>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</si>
  <si>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</si>
  <si>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</si>
  <si>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</si>
  <si>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</si>
  <si>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</si>
  <si>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</si>
  <si>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</si>
  <si>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</si>
  <si>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</si>
  <si>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</si>
  <si>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</si>
  <si>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</si>
  <si>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</si>
  <si>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</si>
  <si>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</si>
  <si>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</si>
  <si>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</si>
  <si>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</si>
  <si>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</si>
  <si>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</si>
  <si>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</si>
  <si>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</si>
  <si>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</si>
  <si>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</si>
  <si>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</si>
  <si>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</si>
  <si>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</si>
  <si>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</si>
  <si>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</si>
  <si>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</si>
  <si>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</si>
  <si>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</si>
  <si>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</si>
  <si>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</si>
  <si>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</si>
  <si>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</si>
  <si>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</si>
  <si>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</si>
  <si>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</si>
  <si>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</si>
  <si>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</si>
  <si>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</si>
  <si>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</si>
  <si>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</si>
  <si>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</si>
  <si>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</si>
  <si>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</si>
  <si>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</si>
  <si>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</si>
  <si>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</si>
  <si>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</si>
  <si>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</si>
  <si>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</si>
  <si>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</si>
  <si>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</si>
  <si>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</si>
  <si>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</si>
  <si>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</si>
  <si>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</si>
  <si>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</si>
  <si>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</si>
  <si>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</si>
  <si>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</si>
  <si>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</si>
  <si>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</si>
  <si>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</si>
  <si>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</si>
  <si>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</si>
  <si>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</si>
  <si>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</si>
  <si>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</si>
  <si>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</si>
  <si>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</si>
  <si>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</si>
  <si>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</si>
  <si>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</si>
  <si>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</si>
  <si>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</si>
  <si>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</si>
  <si>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</si>
  <si>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</si>
  <si>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</si>
  <si>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</si>
  <si>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</si>
  <si>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</si>
  <si>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</si>
  <si>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</si>
  <si>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</si>
  <si>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</si>
  <si>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</si>
  <si>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</si>
  <si>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</si>
  <si>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</si>
  <si>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</si>
  <si>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</si>
  <si>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</si>
  <si>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</si>
  <si>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</si>
  <si>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</si>
  <si>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</si>
  <si>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</si>
  <si>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</si>
  <si>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</si>
  <si>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</si>
  <si>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</si>
  <si>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</si>
  <si>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</si>
  <si>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</si>
  <si>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</si>
  <si>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</si>
  <si>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</si>
  <si>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</si>
  <si>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</si>
  <si>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</si>
  <si>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</si>
  <si>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</si>
  <si>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</si>
  <si>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</si>
  <si>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</si>
  <si>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</si>
  <si>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</si>
  <si>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</si>
  <si>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</si>
  <si>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</si>
  <si>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</si>
  <si>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</si>
  <si>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</si>
  <si>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</si>
  <si>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</si>
  <si>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</si>
  <si>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</si>
  <si>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</si>
  <si>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</si>
  <si>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</si>
  <si>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</si>
  <si>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</si>
  <si>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</si>
  <si>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</si>
  <si>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</si>
  <si>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</si>
  <si>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</si>
  <si>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</si>
  <si>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</si>
  <si>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</si>
  <si>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</si>
  <si>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</si>
  <si>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</si>
  <si>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</si>
  <si>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</si>
  <si>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</si>
  <si>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</si>
  <si>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</si>
  <si>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</si>
  <si>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</si>
  <si>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</si>
  <si>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</si>
  <si>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</si>
  <si>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</si>
  <si>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</si>
  <si>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</si>
  <si>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</si>
  <si>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</si>
  <si>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</si>
  <si>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</si>
  <si>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</si>
  <si>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</si>
  <si>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</si>
  <si>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</si>
  <si>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</si>
  <si>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</si>
  <si>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</si>
  <si>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</si>
  <si>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</si>
  <si>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</si>
  <si>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</si>
  <si>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</si>
  <si>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</si>
  <si>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</si>
  <si>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</si>
  <si>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</si>
  <si>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</si>
  <si>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</si>
  <si>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</si>
  <si>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</si>
  <si>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</si>
  <si>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</si>
  <si>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</si>
  <si>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</si>
  <si>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</si>
  <si>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</si>
  <si>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</si>
  <si>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</si>
  <si>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</si>
  <si>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</si>
  <si>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</si>
  <si>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</si>
  <si>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</si>
  <si>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</si>
  <si>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</si>
  <si>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</si>
  <si>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</si>
  <si>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</si>
  <si>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</si>
  <si>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</si>
  <si>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</si>
  <si>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</si>
  <si>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</si>
  <si>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</si>
  <si>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</si>
  <si>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</si>
  <si>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</si>
  <si>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</si>
  <si>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</si>
  <si>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</si>
  <si>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</si>
  <si>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</si>
  <si>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</si>
  <si>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</si>
  <si>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</si>
  <si>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</si>
  <si>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</si>
  <si>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</si>
  <si>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</si>
  <si>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</si>
  <si>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</si>
  <si>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</si>
  <si>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</si>
  <si>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</si>
  <si>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</si>
  <si>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</si>
  <si>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</si>
  <si>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</si>
  <si>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</si>
  <si>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</si>
  <si>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</si>
  <si>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</si>
  <si>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</si>
  <si>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</si>
  <si>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</si>
  <si>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</si>
  <si>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</si>
  <si>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</si>
  <si>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</si>
  <si>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</si>
  <si>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</si>
  <si>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</si>
  <si>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</si>
  <si>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</si>
  <si>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</si>
  <si>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</si>
  <si>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</si>
  <si>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</si>
  <si>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</si>
  <si>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</si>
  <si>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</si>
  <si>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</si>
  <si>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</si>
  <si>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</si>
  <si>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</si>
  <si>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</si>
  <si>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</si>
  <si>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</si>
  <si>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</si>
  <si>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</si>
  <si>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</si>
  <si>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</si>
  <si>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</si>
  <si>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</si>
  <si>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</si>
  <si>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</si>
  <si>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</si>
  <si>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</si>
  <si>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</si>
  <si>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</si>
  <si>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</si>
  <si>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</si>
  <si>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</si>
  <si>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</si>
  <si>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</si>
  <si>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</si>
  <si>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</si>
  <si>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</si>
  <si>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</si>
  <si>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</si>
  <si>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</si>
  <si>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</si>
  <si>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</si>
  <si>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</si>
  <si>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</si>
  <si>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</si>
  <si>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</si>
  <si>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</si>
  <si>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</si>
  <si>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</si>
  <si>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</si>
  <si>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</si>
  <si>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</si>
  <si>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</si>
  <si>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</si>
  <si>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</si>
  <si>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</si>
  <si>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</si>
  <si>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</si>
  <si>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</si>
  <si>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</si>
  <si>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</si>
  <si>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</si>
  <si>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</si>
  <si>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</si>
  <si>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</si>
  <si>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</si>
  <si>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</si>
  <si>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</si>
  <si>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</si>
  <si>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</si>
  <si>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</si>
  <si>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</si>
  <si>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</si>
  <si>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</si>
  <si>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</si>
  <si>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</si>
  <si>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</si>
  <si>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</si>
  <si>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</si>
  <si>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</si>
  <si>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</si>
  <si>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</si>
  <si>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</si>
  <si>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</si>
  <si>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</si>
  <si>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</si>
  <si>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</si>
  <si>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</si>
  <si>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</si>
  <si>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</si>
  <si>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</si>
  <si>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</si>
  <si>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</si>
  <si>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</si>
  <si>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</si>
  <si>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</si>
  <si>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</si>
  <si>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</si>
  <si>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</si>
  <si>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</si>
  <si>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</si>
  <si>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</si>
  <si>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</si>
  <si>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</si>
  <si>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</si>
  <si>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</si>
  <si>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</si>
  <si>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</si>
  <si>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</si>
  <si>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</si>
  <si>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</si>
  <si>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</si>
  <si>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</si>
  <si>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</si>
  <si>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</si>
  <si>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</si>
  <si>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</si>
  <si>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</si>
  <si>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</si>
  <si>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</si>
  <si>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</si>
  <si>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</si>
  <si>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</si>
  <si>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</si>
  <si>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</si>
  <si>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</si>
  <si>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</si>
  <si>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</si>
  <si>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</si>
  <si>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</si>
  <si>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</si>
  <si>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</si>
  <si>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</si>
  <si>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</si>
  <si>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</si>
  <si>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</si>
  <si>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</si>
  <si>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</si>
  <si>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</si>
  <si>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</si>
  <si>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</si>
  <si>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</si>
  <si>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</si>
  <si>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</si>
  <si>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</si>
  <si>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</si>
  <si>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</si>
  <si>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</si>
  <si>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</si>
  <si>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</si>
  <si>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</si>
  <si>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</si>
  <si>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</si>
  <si>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</si>
  <si>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</si>
  <si>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</si>
  <si>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</si>
  <si>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</si>
  <si>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</si>
  <si>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</si>
  <si>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</si>
  <si>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</si>
  <si>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</si>
  <si>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</si>
  <si>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</si>
  <si>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</si>
  <si>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</si>
  <si>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</si>
  <si>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</si>
  <si>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</si>
  <si>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</si>
  <si>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</si>
  <si>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</si>
  <si>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</si>
  <si>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</si>
  <si>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</si>
  <si>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</si>
  <si>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</si>
  <si>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</si>
  <si>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</si>
  <si>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</si>
  <si>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</si>
  <si>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</si>
  <si>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</si>
  <si>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</si>
  <si>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</si>
  <si>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</si>
  <si>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</si>
  <si>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</si>
  <si>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</si>
  <si>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</si>
  <si>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</si>
  <si>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</si>
  <si>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</si>
  <si>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</si>
  <si>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</si>
  <si>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</si>
  <si>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</si>
  <si>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</si>
  <si>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</si>
  <si>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</si>
  <si>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</si>
  <si>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</si>
  <si>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</si>
  <si>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</si>
  <si>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</si>
  <si>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</si>
  <si>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</si>
  <si>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</si>
  <si>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</si>
  <si>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</si>
  <si>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</si>
  <si>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</si>
  <si>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</si>
  <si>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</si>
  <si>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</si>
  <si>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</si>
  <si>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</si>
  <si>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</si>
  <si>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</si>
  <si>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</si>
  <si>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</si>
  <si>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</si>
  <si>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</si>
  <si>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</si>
  <si>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</si>
  <si>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</si>
  <si>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</si>
  <si>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</si>
  <si>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</si>
  <si>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</si>
  <si>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</si>
  <si>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</si>
  <si>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</si>
  <si>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</si>
  <si>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</si>
  <si>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</si>
  <si>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</si>
  <si>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</si>
  <si>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</si>
  <si>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</si>
  <si>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</si>
  <si>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</si>
  <si>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</si>
  <si>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</si>
  <si>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</si>
  <si>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</si>
  <si>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</si>
  <si>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</si>
  <si>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</si>
  <si>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</si>
  <si>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</si>
  <si>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</si>
  <si>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</si>
  <si>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</si>
  <si>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</si>
  <si>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</si>
  <si>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</si>
  <si>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</si>
  <si>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</si>
  <si>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</si>
  <si>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</si>
  <si>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</si>
  <si>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</si>
  <si>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</si>
  <si>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</si>
  <si>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</si>
  <si>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</si>
  <si>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</si>
  <si>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</si>
  <si>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</si>
  <si>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</si>
  <si>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</si>
  <si>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</si>
  <si>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</si>
  <si>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</si>
  <si>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</si>
  <si>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</si>
  <si>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</si>
  <si>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</si>
  <si>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</si>
  <si>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</si>
  <si>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</si>
  <si>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</si>
  <si>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</si>
  <si>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</si>
  <si>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</si>
  <si>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</si>
  <si>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</si>
  <si>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</si>
  <si>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</si>
  <si>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</si>
  <si>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</si>
  <si>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</si>
  <si>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</si>
  <si>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</si>
  <si>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</si>
  <si>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</si>
  <si>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</si>
  <si>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</si>
  <si>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</si>
  <si>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</si>
  <si>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</si>
  <si>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</si>
  <si>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</si>
  <si>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</si>
  <si>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</si>
  <si>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</si>
  <si>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</si>
  <si>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</si>
  <si>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</si>
  <si>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</si>
  <si>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</si>
  <si>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</si>
  <si>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</si>
  <si>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</si>
  <si>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</si>
  <si>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</si>
  <si>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</si>
  <si>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</si>
  <si>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</si>
  <si>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</si>
  <si>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</si>
  <si>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</si>
  <si>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</si>
  <si>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</si>
  <si>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</si>
  <si>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</si>
  <si>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</si>
  <si>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</si>
  <si>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</si>
  <si>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</si>
  <si>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</si>
  <si>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</si>
  <si>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</si>
  <si>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</si>
  <si>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</si>
  <si>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</si>
  <si>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</si>
  <si>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</si>
  <si>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</si>
  <si>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</si>
  <si>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</si>
  <si>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</si>
  <si>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</si>
  <si>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</si>
  <si>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</si>
  <si>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</si>
  <si>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</si>
  <si>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</si>
  <si>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</si>
  <si>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</si>
  <si>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</si>
  <si>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</si>
  <si>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</si>
  <si>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</si>
  <si>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</si>
  <si>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</si>
  <si>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</si>
  <si>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</si>
  <si>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</si>
  <si>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</si>
  <si>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</si>
  <si>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</si>
  <si>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</si>
  <si>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</si>
  <si>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</si>
  <si>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</si>
  <si>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</si>
  <si>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</si>
  <si>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</si>
  <si>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</si>
  <si>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</si>
  <si>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</si>
  <si>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</si>
  <si>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</si>
  <si>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</si>
  <si>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</si>
  <si>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</si>
  <si>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</si>
  <si>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</si>
  <si>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</si>
  <si>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</si>
  <si>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</si>
  <si>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</si>
  <si>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</si>
  <si>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</si>
  <si>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</si>
  <si>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</si>
  <si>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</si>
  <si>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</si>
  <si>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</si>
  <si>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</si>
  <si>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</si>
  <si>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</si>
  <si>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</si>
  <si>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</si>
  <si>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</si>
  <si>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</si>
  <si>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</si>
  <si>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</si>
  <si>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</si>
  <si>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</si>
  <si>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</si>
  <si>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</si>
  <si>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</si>
  <si>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</si>
  <si>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</si>
  <si>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</si>
  <si>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</si>
  <si>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</si>
  <si>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</si>
  <si>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</si>
  <si>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</si>
  <si>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</si>
  <si>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</si>
  <si>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</si>
  <si>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</si>
  <si>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</si>
  <si>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</si>
  <si>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</si>
  <si>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</si>
  <si>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</si>
  <si>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</si>
  <si>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</si>
  <si>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</si>
  <si>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</si>
  <si>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</si>
  <si>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</si>
  <si>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</si>
  <si>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</si>
  <si>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</si>
  <si>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</si>
  <si>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</si>
  <si>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</si>
  <si>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</si>
  <si>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</si>
  <si>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</si>
  <si>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</si>
  <si>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</si>
  <si>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</si>
  <si>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</si>
  <si>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</si>
  <si>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</si>
  <si>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</si>
  <si>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</si>
  <si>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</si>
  <si>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</si>
  <si>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</si>
  <si>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</si>
  <si>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</si>
  <si>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</si>
  <si>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</si>
  <si>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</si>
  <si>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</si>
  <si>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</si>
  <si>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</si>
  <si>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</si>
  <si>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</si>
  <si>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</si>
  <si>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</si>
  <si>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</si>
  <si>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</si>
  <si>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</si>
  <si>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</si>
  <si>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</si>
  <si>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</si>
  <si>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</si>
  <si>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</si>
  <si>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</si>
  <si>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</si>
  <si>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</si>
  <si>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</si>
  <si>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</si>
  <si>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</si>
  <si>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</si>
  <si>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</si>
  <si>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</si>
  <si>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</si>
  <si>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</si>
  <si>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</si>
  <si>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</si>
  <si>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</si>
  <si>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</si>
  <si>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</si>
  <si>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</si>
  <si>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</si>
  <si>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</si>
  <si>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</si>
  <si>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</si>
  <si>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</si>
  <si>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</si>
  <si>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</si>
  <si>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</si>
  <si>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</si>
  <si>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</si>
  <si>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</si>
  <si>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</si>
  <si>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</si>
  <si>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</si>
  <si>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</si>
  <si>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</si>
  <si>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</si>
  <si>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</si>
  <si>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</si>
  <si>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</si>
  <si>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</si>
  <si>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</si>
  <si>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</si>
  <si>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</si>
  <si>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</si>
  <si>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</si>
  <si>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</si>
  <si>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</si>
  <si>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</si>
  <si>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</si>
  <si>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</si>
  <si>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</si>
  <si>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</si>
  <si>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</si>
  <si>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</si>
  <si>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</si>
  <si>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</si>
  <si>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</si>
  <si>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</si>
  <si>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</si>
  <si>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</si>
  <si>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</si>
  <si>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</si>
  <si>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</si>
  <si>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</si>
  <si>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</si>
  <si>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</si>
  <si>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</si>
  <si>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</si>
  <si>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</si>
  <si>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</si>
  <si>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</si>
  <si>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</si>
  <si>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</si>
  <si>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</si>
  <si>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</si>
  <si>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</si>
  <si>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</si>
  <si>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</si>
  <si>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</si>
  <si>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</si>
  <si>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</si>
  <si>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</si>
  <si>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</si>
  <si>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</si>
  <si>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</si>
  <si>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</si>
  <si>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</si>
  <si>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</si>
  <si>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</si>
  <si>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</si>
  <si>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</si>
  <si>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</si>
  <si>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</si>
  <si>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</si>
  <si>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</si>
  <si>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</si>
  <si>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</si>
  <si>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</si>
  <si>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</si>
  <si>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</si>
  <si>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</si>
  <si>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</si>
  <si>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</si>
  <si>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</si>
  <si>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</si>
  <si>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</si>
  <si>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</si>
  <si>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</si>
  <si>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</si>
  <si>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</si>
  <si>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</si>
  <si>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</si>
  <si>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</si>
  <si>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</si>
  <si>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</si>
  <si>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</si>
  <si>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</si>
  <si>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</si>
  <si>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</si>
  <si>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</si>
  <si>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</si>
  <si>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</si>
  <si>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</si>
  <si>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</si>
  <si>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</si>
  <si>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</si>
  <si>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</si>
  <si>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</si>
  <si>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</si>
  <si>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</si>
  <si>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</si>
  <si>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</si>
  <si>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</si>
  <si>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</si>
  <si>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</si>
  <si>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</si>
  <si>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</si>
  <si>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</si>
  <si>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</si>
  <si>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</si>
  <si>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</si>
  <si>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</si>
  <si>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</si>
  <si>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</si>
  <si>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</si>
  <si>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</si>
  <si>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</si>
  <si>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</si>
  <si>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</si>
  <si>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</si>
  <si>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</si>
  <si>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</si>
  <si>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</si>
  <si>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</si>
  <si>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</si>
  <si>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</si>
  <si>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</si>
  <si>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</si>
  <si>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</si>
  <si>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</si>
  <si>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</si>
  <si>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</si>
  <si>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</si>
  <si>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</si>
  <si>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</si>
  <si>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</si>
  <si>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</si>
  <si>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</si>
  <si>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</si>
  <si>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</si>
  <si>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</si>
  <si>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</si>
  <si>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</si>
  <si>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</si>
  <si>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</si>
  <si>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</si>
  <si>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</si>
  <si>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</si>
  <si>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</si>
  <si>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</si>
  <si>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</si>
  <si>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</si>
  <si>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</si>
  <si>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</si>
  <si>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</si>
  <si>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</si>
  <si>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</si>
  <si>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</si>
  <si>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</si>
  <si>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</si>
  <si>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</si>
  <si>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</si>
  <si>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</si>
  <si>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</si>
  <si>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</si>
  <si>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</si>
  <si>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</si>
  <si>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</si>
  <si>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</si>
  <si>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</si>
  <si>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</si>
  <si>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</si>
  <si>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</si>
  <si>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</si>
  <si>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</si>
  <si>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</si>
  <si>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</si>
  <si>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</si>
  <si>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</si>
  <si>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</si>
  <si>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</si>
  <si>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</si>
  <si>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</si>
  <si>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</si>
  <si>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</si>
  <si>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</si>
  <si>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</si>
  <si>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</si>
  <si>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</si>
  <si>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</si>
  <si>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</si>
  <si>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</si>
  <si>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</si>
  <si>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</si>
  <si>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</si>
  <si>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</si>
  <si>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</si>
  <si>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</si>
  <si>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</si>
  <si>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</si>
  <si>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</si>
  <si>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</si>
  <si>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</si>
  <si>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</si>
  <si>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</si>
  <si>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</si>
  <si>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</si>
  <si>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</si>
  <si>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</si>
  <si>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</si>
  <si>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</si>
  <si>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</si>
  <si>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</si>
  <si>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</si>
  <si>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</si>
  <si>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</si>
  <si>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</si>
  <si>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</si>
  <si>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</si>
  <si>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</si>
  <si>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</si>
  <si>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</si>
  <si>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</si>
  <si>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</si>
  <si>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</si>
  <si>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</si>
  <si>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</si>
  <si>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</si>
  <si>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</si>
  <si>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</si>
  <si>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</si>
  <si>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</si>
  <si>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</si>
  <si>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</si>
  <si>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</si>
  <si>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</si>
  <si>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</si>
  <si>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</si>
  <si>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</si>
  <si>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</si>
  <si>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</si>
  <si>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</si>
  <si>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</si>
  <si>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</si>
  <si>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</si>
  <si>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</si>
  <si>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</si>
  <si>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</si>
  <si>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</si>
  <si>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</si>
  <si>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</si>
  <si>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</si>
  <si>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</si>
  <si>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</si>
  <si>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</si>
  <si>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</si>
  <si>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</si>
  <si>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</si>
  <si>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</si>
  <si>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</si>
  <si>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</si>
  <si>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</si>
  <si>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</si>
  <si>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</si>
  <si>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</si>
  <si>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</si>
  <si>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</si>
  <si>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</si>
  <si>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</si>
  <si>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</si>
  <si>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</si>
  <si>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</si>
  <si>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</si>
  <si>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</si>
  <si>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</si>
  <si>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</si>
  <si>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</si>
  <si>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</si>
  <si>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</si>
  <si>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</si>
  <si>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</si>
  <si>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</si>
  <si>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</si>
  <si>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</si>
  <si>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</si>
  <si>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</si>
  <si>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</si>
  <si>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</si>
  <si>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</si>
  <si>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</si>
  <si>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</si>
  <si>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</si>
  <si>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</si>
  <si>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</si>
  <si>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</si>
  <si>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</si>
  <si>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</si>
  <si>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</si>
  <si>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</si>
  <si>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</si>
  <si>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</si>
  <si>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</si>
  <si>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</si>
  <si>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</si>
  <si>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</si>
  <si>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</si>
  <si>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</si>
  <si>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</si>
  <si>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</si>
  <si>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</si>
  <si>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</si>
  <si>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</si>
  <si>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</si>
  <si>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</si>
  <si>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</si>
  <si>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</si>
  <si>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</si>
  <si>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</si>
  <si>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</si>
  <si>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</si>
  <si>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</si>
  <si>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</si>
  <si>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</si>
  <si>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</si>
  <si>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</si>
  <si>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</si>
  <si>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</si>
  <si>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</si>
  <si>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</si>
  <si>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</si>
  <si>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</si>
  <si>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</si>
  <si>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</si>
  <si>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</si>
  <si>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</si>
  <si>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</si>
  <si>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</si>
  <si>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</si>
  <si>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</si>
  <si>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</si>
  <si>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</si>
  <si>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</si>
  <si>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</si>
  <si>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</si>
  <si>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</si>
  <si>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</si>
  <si>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</si>
  <si>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</si>
  <si>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</si>
  <si>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</si>
  <si>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</si>
  <si>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</si>
  <si>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</si>
  <si>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</si>
  <si>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</si>
  <si>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</si>
  <si>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</si>
  <si>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</si>
  <si>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</si>
  <si>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</si>
  <si>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</si>
  <si>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</si>
  <si>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</si>
  <si>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</si>
  <si>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</si>
  <si>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</si>
  <si>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</si>
  <si>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</si>
  <si>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</si>
  <si>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</si>
  <si>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</si>
  <si>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</si>
  <si>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</si>
  <si>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</si>
  <si>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</si>
  <si>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</si>
  <si>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</si>
  <si>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</si>
  <si>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</si>
  <si>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</si>
  <si>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</si>
  <si>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</si>
  <si>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</si>
  <si>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</si>
  <si>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</si>
  <si>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</si>
  <si>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</si>
  <si>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</si>
  <si>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</si>
  <si>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</si>
  <si>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</si>
  <si>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</si>
  <si>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</si>
  <si>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</si>
  <si>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</si>
  <si>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</si>
  <si>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</si>
  <si>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</si>
  <si>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</si>
  <si>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</si>
  <si>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</si>
  <si>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</si>
  <si>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</si>
  <si>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</si>
  <si>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</si>
  <si>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</si>
  <si>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</si>
  <si>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</si>
  <si>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</si>
  <si>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</si>
  <si>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</si>
  <si>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</si>
  <si>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</si>
  <si>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</si>
  <si>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</si>
  <si>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</si>
  <si>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</si>
  <si>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</si>
  <si>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</si>
  <si>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</si>
  <si>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</si>
  <si>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</si>
  <si>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</si>
  <si>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</si>
  <si>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</si>
  <si>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</si>
  <si>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</si>
  <si>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</si>
  <si>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</si>
  <si>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</si>
  <si>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</si>
  <si>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</si>
  <si>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</si>
  <si>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</si>
  <si>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</si>
  <si>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</si>
  <si>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</si>
  <si>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</si>
  <si>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</si>
  <si>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</si>
  <si>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</si>
  <si>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</si>
  <si>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</si>
  <si>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</si>
  <si>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</si>
  <si>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</si>
  <si>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</si>
  <si>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</si>
  <si>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</si>
  <si>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</si>
  <si>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</si>
  <si>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</si>
  <si>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</si>
  <si>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</si>
  <si>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</si>
  <si>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</si>
  <si>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</si>
  <si>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</si>
  <si>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</si>
  <si>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</si>
  <si>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</si>
  <si>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</si>
  <si>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</si>
  <si>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</si>
  <si>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</si>
  <si>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</si>
  <si>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</si>
  <si>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</si>
  <si>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</si>
  <si>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</si>
  <si>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</si>
  <si>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</si>
  <si>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</si>
  <si>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</si>
  <si>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</si>
  <si>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</si>
  <si>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</si>
  <si>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</si>
  <si>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</si>
  <si>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</si>
  <si>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</si>
  <si>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</si>
  <si>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</si>
  <si>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</si>
  <si>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</si>
  <si>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</si>
  <si>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</si>
  <si>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</si>
  <si>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</si>
  <si>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</si>
  <si>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</si>
  <si>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</si>
  <si>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</si>
  <si>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</si>
  <si>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</si>
  <si>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</si>
  <si>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</si>
  <si>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</si>
  <si>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</si>
  <si>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</si>
  <si>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</si>
  <si>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</si>
  <si>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</si>
  <si>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</si>
  <si>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</si>
  <si>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</si>
  <si>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</si>
  <si>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</si>
  <si>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</si>
  <si>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</si>
  <si>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</si>
  <si>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</si>
  <si>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</si>
  <si>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</si>
  <si>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</si>
  <si>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</si>
  <si>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</si>
  <si>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</si>
  <si>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</si>
  <si>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</si>
  <si>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</si>
  <si>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</si>
  <si>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</si>
  <si>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</si>
  <si>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</si>
  <si>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</si>
  <si>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</si>
  <si>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</si>
  <si>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</si>
  <si>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</si>
  <si>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</si>
  <si>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</si>
  <si>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</si>
  <si>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</si>
  <si>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</si>
  <si>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</si>
  <si>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</si>
  <si>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</si>
  <si>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</si>
  <si>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</si>
  <si>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</si>
  <si>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</si>
  <si>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</si>
  <si>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</si>
  <si>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</si>
  <si>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</si>
  <si>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</si>
  <si>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</si>
  <si>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</si>
  <si>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Presidencia Municipal de San Miguel de Allende</t>
  </si>
  <si>
    <t>Al 31 de diciembre de 2018 y al 30 de junio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</si>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</sst>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3" fontId="15" fillId="0" borderId="13" xfId="1" applyBorder="1" applyAlignment="1" applyProtection="1">
      <alignment horizontal="right" vertical="center"/>
      <protection locked="0"/>
    </xf>
    <xf numFmtId="43" fontId="0" fillId="0" borderId="13" xfId="1" applyFont="1" applyBorder="1" applyAlignment="1" applyProtection="1">
      <alignment horizontal="right" vertical="center"/>
      <protection locked="0"/>
    </xf>
    <xf numFmtId="43" fontId="15" fillId="0" borderId="13" xfId="1" applyBorder="1" applyProtection="1">
      <protection locked="0"/>
    </xf>
    <xf numFmtId="43" fontId="0" fillId="0" borderId="13" xfId="1" applyFont="1" applyBorder="1" applyProtection="1">
      <protection locked="0"/>
    </xf>
    <xf numFmtId="43" fontId="15" fillId="0" borderId="13" xfId="1" applyBorder="1" applyAlignment="1" applyProtection="1">
      <alignment vertical="center"/>
      <protection locked="0"/>
    </xf>
    <xf numFmtId="43" fontId="0" fillId="0" borderId="13" xfId="1" applyFont="1" applyBorder="1" applyAlignment="1" applyProtection="1">
      <alignment vertical="center"/>
      <protection locked="0"/>
    </xf>
    <xf numFmtId="43" fontId="15" fillId="4" borderId="13" xfId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6" fillId="0" borderId="8" xfId="1" applyFont="1" applyBorder="1" applyAlignment="1" applyProtection="1">
      <alignment vertical="center"/>
      <protection locked="0"/>
    </xf>
    <xf numFmtId="43" fontId="15" fillId="0" borderId="8" xfId="1" applyBorder="1" applyAlignment="1" applyProtection="1">
      <alignment horizontal="right" vertical="center"/>
      <protection locked="0"/>
    </xf>
    <xf numFmtId="43" fontId="0" fillId="0" borderId="8" xfId="1" applyFont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22" t="s">
        <v>829</v>
      </c>
      <c r="B1" s="123"/>
      <c r="C1" s="123"/>
      <c r="D1" s="123"/>
      <c r="E1" s="124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25" t="s">
        <v>3302</v>
      </c>
      <c r="D3" s="125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4.65" thickBot="1" x14ac:dyDescent="0.5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8" workbookViewId="0">
      <selection activeCell="B67" sqref="B67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35" t="s">
        <v>542</v>
      </c>
      <c r="B1" s="135"/>
      <c r="C1" s="135"/>
      <c r="D1" s="135"/>
      <c r="E1" s="90"/>
      <c r="F1" s="90"/>
      <c r="G1" s="90"/>
      <c r="H1" s="90"/>
      <c r="I1" s="90"/>
      <c r="J1" s="90"/>
      <c r="K1" s="90"/>
    </row>
    <row r="2" spans="1:11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8"/>
    </row>
    <row r="3" spans="1:11" ht="14.25" x14ac:dyDescent="0.45">
      <c r="A3" s="129" t="s">
        <v>166</v>
      </c>
      <c r="B3" s="130"/>
      <c r="C3" s="130"/>
      <c r="D3" s="131"/>
    </row>
    <row r="4" spans="1:11" ht="14.25" x14ac:dyDescent="0.45">
      <c r="A4" s="129" t="str">
        <f>TRIMESTRE</f>
        <v>Del 1 de enero al 30 de junio de 2019 (b)</v>
      </c>
      <c r="B4" s="130"/>
      <c r="C4" s="130"/>
      <c r="D4" s="131"/>
    </row>
    <row r="5" spans="1:11" ht="14.25" x14ac:dyDescent="0.45">
      <c r="A5" s="132" t="s">
        <v>118</v>
      </c>
      <c r="B5" s="133"/>
      <c r="C5" s="133"/>
      <c r="D5" s="134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ht="14.25" x14ac:dyDescent="0.45">
      <c r="A8" s="47" t="s">
        <v>168</v>
      </c>
      <c r="B8" s="33">
        <f>SUM(B9:B11)</f>
        <v>930790775</v>
      </c>
      <c r="C8" s="33">
        <f t="shared" ref="C8:D8" si="0">SUM(C9:C11)</f>
        <v>542392969.87</v>
      </c>
      <c r="D8" s="33">
        <f t="shared" si="0"/>
        <v>542392969.87</v>
      </c>
    </row>
    <row r="9" spans="1:11" x14ac:dyDescent="0.25">
      <c r="A9" s="45" t="s">
        <v>169</v>
      </c>
      <c r="B9" s="161">
        <v>708713126</v>
      </c>
      <c r="C9" s="161">
        <v>397904789.94999999</v>
      </c>
      <c r="D9" s="161">
        <v>397904789.94999999</v>
      </c>
    </row>
    <row r="10" spans="1:11" x14ac:dyDescent="0.25">
      <c r="A10" s="45" t="s">
        <v>170</v>
      </c>
      <c r="B10" s="161">
        <v>222077649</v>
      </c>
      <c r="C10" s="161">
        <v>144488179.91999999</v>
      </c>
      <c r="D10" s="161">
        <v>144488179.91999999</v>
      </c>
    </row>
    <row r="11" spans="1:11" x14ac:dyDescent="0.25">
      <c r="A11" s="45" t="s">
        <v>171</v>
      </c>
      <c r="B11" s="162"/>
      <c r="C11" s="162"/>
      <c r="D11" s="162"/>
    </row>
    <row r="12" spans="1:11" ht="14.25" x14ac:dyDescent="0.45">
      <c r="A12" s="77"/>
      <c r="B12" s="4"/>
      <c r="C12" s="4"/>
      <c r="D12" s="4"/>
    </row>
    <row r="13" spans="1:11" ht="14.25" x14ac:dyDescent="0.45">
      <c r="A13" s="47" t="s">
        <v>180</v>
      </c>
      <c r="B13" s="33">
        <f>B14+B15</f>
        <v>1042127769.3</v>
      </c>
      <c r="C13" s="33">
        <f t="shared" ref="C13:D13" si="1">C14+C15</f>
        <v>384795141.70999998</v>
      </c>
      <c r="D13" s="33">
        <f t="shared" si="1"/>
        <v>382925800.13999999</v>
      </c>
    </row>
    <row r="14" spans="1:11" x14ac:dyDescent="0.25">
      <c r="A14" s="45" t="s">
        <v>172</v>
      </c>
      <c r="B14" s="161">
        <v>820050120.29999995</v>
      </c>
      <c r="C14" s="161">
        <v>338765406.31999999</v>
      </c>
      <c r="D14" s="161">
        <v>336896064.75</v>
      </c>
    </row>
    <row r="15" spans="1:11" x14ac:dyDescent="0.25">
      <c r="A15" s="45" t="s">
        <v>173</v>
      </c>
      <c r="B15" s="161">
        <v>222077649</v>
      </c>
      <c r="C15" s="161">
        <v>46029735.390000001</v>
      </c>
      <c r="D15" s="161">
        <v>46029735.390000001</v>
      </c>
    </row>
    <row r="16" spans="1:11" ht="14.25" x14ac:dyDescent="0.45">
      <c r="A16" s="77"/>
      <c r="B16" s="4"/>
      <c r="C16" s="4"/>
      <c r="D16" s="4"/>
    </row>
    <row r="17" spans="1:4" ht="14.25" x14ac:dyDescent="0.45">
      <c r="A17" s="47" t="s">
        <v>174</v>
      </c>
      <c r="B17" s="97">
        <f>B18+B19</f>
        <v>0</v>
      </c>
      <c r="C17" s="33">
        <f t="shared" ref="C17" si="2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>
        <v>0</v>
      </c>
      <c r="D18" s="17">
        <v>0</v>
      </c>
    </row>
    <row r="19" spans="1:4" ht="14.25" x14ac:dyDescent="0.45">
      <c r="A19" s="45" t="s">
        <v>176</v>
      </c>
      <c r="B19" s="98">
        <v>0</v>
      </c>
      <c r="C19" s="17">
        <v>0</v>
      </c>
      <c r="D19" s="96">
        <v>0</v>
      </c>
    </row>
    <row r="20" spans="1:4" ht="14.25" x14ac:dyDescent="0.4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-111336994.29999995</v>
      </c>
      <c r="C21" s="33">
        <f t="shared" ref="C21:D21" si="3">C8-C13+C17</f>
        <v>157597828.16000003</v>
      </c>
      <c r="D21" s="33">
        <f t="shared" si="3"/>
        <v>159467169.73000002</v>
      </c>
    </row>
    <row r="22" spans="1:4" ht="14.25" x14ac:dyDescent="0.45">
      <c r="A22" s="47"/>
      <c r="B22" s="4"/>
      <c r="C22" s="4"/>
      <c r="D22" s="4"/>
    </row>
    <row r="23" spans="1:4" ht="14.25" x14ac:dyDescent="0.45">
      <c r="A23" s="47" t="s">
        <v>178</v>
      </c>
      <c r="B23" s="33">
        <f>B21-B11</f>
        <v>-111336994.29999995</v>
      </c>
      <c r="C23" s="33">
        <f t="shared" ref="C23:D23" si="4">C21-C11</f>
        <v>157597828.16000003</v>
      </c>
      <c r="D23" s="33">
        <f t="shared" si="4"/>
        <v>159467169.73000002</v>
      </c>
    </row>
    <row r="24" spans="1:4" ht="14.25" x14ac:dyDescent="0.45">
      <c r="A24" s="47"/>
      <c r="B24" s="12"/>
      <c r="C24" s="12"/>
      <c r="D24" s="12"/>
    </row>
    <row r="25" spans="1:4" ht="14.25" x14ac:dyDescent="0.45">
      <c r="A25" s="99" t="s">
        <v>179</v>
      </c>
      <c r="B25" s="33">
        <f>B23-B17</f>
        <v>-111336994.29999995</v>
      </c>
      <c r="C25" s="33">
        <f t="shared" ref="C25" si="5">C23-C17</f>
        <v>157597828.16000003</v>
      </c>
      <c r="D25" s="33">
        <f>D23-D17</f>
        <v>159467169.73000002</v>
      </c>
    </row>
    <row r="26" spans="1:4" ht="14.25" x14ac:dyDescent="0.45">
      <c r="A26" s="100"/>
      <c r="B26" s="5"/>
      <c r="C26" s="5"/>
      <c r="D26" s="5"/>
    </row>
    <row r="27" spans="1:4" ht="14.25" x14ac:dyDescent="0.45">
      <c r="A27" s="74"/>
    </row>
    <row r="28" spans="1:4" ht="30" customHeight="1" x14ac:dyDescent="0.4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ht="14.25" x14ac:dyDescent="0.45">
      <c r="A29" s="47" t="s">
        <v>186</v>
      </c>
      <c r="B29" s="51">
        <f>B30+B31</f>
        <v>13132809.050000001</v>
      </c>
      <c r="C29" s="51">
        <f t="shared" ref="C29:D29" si="6">C30+C31</f>
        <v>1146937.04</v>
      </c>
      <c r="D29" s="51">
        <f t="shared" si="6"/>
        <v>1146937.04</v>
      </c>
    </row>
    <row r="30" spans="1:4" x14ac:dyDescent="0.25">
      <c r="A30" s="45" t="s">
        <v>187</v>
      </c>
      <c r="B30" s="163">
        <v>9532809.0500000007</v>
      </c>
      <c r="C30" s="163">
        <v>0</v>
      </c>
      <c r="D30" s="163">
        <v>0</v>
      </c>
    </row>
    <row r="31" spans="1:4" x14ac:dyDescent="0.25">
      <c r="A31" s="45" t="s">
        <v>188</v>
      </c>
      <c r="B31" s="163">
        <v>3600000</v>
      </c>
      <c r="C31" s="163">
        <v>1146937.04</v>
      </c>
      <c r="D31" s="163">
        <v>1146937.04</v>
      </c>
    </row>
    <row r="32" spans="1:4" ht="14.25" x14ac:dyDescent="0.4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-98204185.249999955</v>
      </c>
      <c r="C33" s="51">
        <f t="shared" ref="C33:D33" si="7">C25+C29</f>
        <v>158744765.20000002</v>
      </c>
      <c r="D33" s="51">
        <f t="shared" si="7"/>
        <v>160614106.77000001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>
        <v>0</v>
      </c>
      <c r="C38" s="50">
        <v>0</v>
      </c>
      <c r="D38" s="50">
        <v>0</v>
      </c>
    </row>
    <row r="39" spans="1:4" x14ac:dyDescent="0.25">
      <c r="A39" s="45" t="s">
        <v>193</v>
      </c>
      <c r="B39" s="50">
        <v>0</v>
      </c>
      <c r="C39" s="50">
        <v>0</v>
      </c>
      <c r="D39" s="50">
        <v>0</v>
      </c>
    </row>
    <row r="40" spans="1:4" x14ac:dyDescent="0.25">
      <c r="A40" s="47" t="s">
        <v>194</v>
      </c>
      <c r="B40" s="51">
        <f>B41+B42</f>
        <v>12590005.120000001</v>
      </c>
      <c r="C40" s="51">
        <f t="shared" ref="C40:D40" si="9">C41+C42</f>
        <v>2966472</v>
      </c>
      <c r="D40" s="51">
        <f t="shared" si="9"/>
        <v>2966472</v>
      </c>
    </row>
    <row r="41" spans="1:4" x14ac:dyDescent="0.25">
      <c r="A41" s="45" t="s">
        <v>195</v>
      </c>
      <c r="B41" s="163">
        <v>6657061.1200000001</v>
      </c>
      <c r="C41" s="163">
        <v>0</v>
      </c>
      <c r="D41" s="163">
        <v>0</v>
      </c>
    </row>
    <row r="42" spans="1:4" x14ac:dyDescent="0.25">
      <c r="A42" s="45" t="s">
        <v>196</v>
      </c>
      <c r="B42" s="163">
        <v>5932944</v>
      </c>
      <c r="C42" s="163">
        <v>2966472</v>
      </c>
      <c r="D42" s="163">
        <v>2966472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-12590005.120000001</v>
      </c>
      <c r="C44" s="51">
        <f t="shared" ref="C44:D44" si="10">C37-C40</f>
        <v>-2966472</v>
      </c>
      <c r="D44" s="51">
        <f t="shared" si="10"/>
        <v>-2966472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708713126</v>
      </c>
      <c r="C48" s="102">
        <f>C9</f>
        <v>397904789.94999999</v>
      </c>
      <c r="D48" s="102">
        <f t="shared" ref="D48" si="11">D9</f>
        <v>397904789.94999999</v>
      </c>
    </row>
    <row r="49" spans="1:4" x14ac:dyDescent="0.25">
      <c r="A49" s="105" t="s">
        <v>199</v>
      </c>
      <c r="B49" s="51">
        <f>B50-B51</f>
        <v>-6657061.1200000001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6" t="s">
        <v>192</v>
      </c>
      <c r="B50" s="50">
        <v>0</v>
      </c>
      <c r="C50" s="50">
        <v>0</v>
      </c>
      <c r="D50" s="50">
        <v>0</v>
      </c>
    </row>
    <row r="51" spans="1:4" x14ac:dyDescent="0.25">
      <c r="A51" s="106" t="s">
        <v>195</v>
      </c>
      <c r="B51" s="163">
        <v>6657061.1200000001</v>
      </c>
      <c r="C51" s="163">
        <v>0</v>
      </c>
      <c r="D51" s="163">
        <v>0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820050120.29999995</v>
      </c>
      <c r="C53" s="50">
        <f t="shared" ref="C53:D53" si="13">C14</f>
        <v>338765406.31999999</v>
      </c>
      <c r="D53" s="50">
        <f t="shared" si="13"/>
        <v>336896064.75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4">C18</f>
        <v>0</v>
      </c>
      <c r="D55" s="50">
        <f t="shared" si="14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-117994055.41999996</v>
      </c>
      <c r="C57" s="51">
        <f>C48+C49-C53+C55</f>
        <v>59139383.629999995</v>
      </c>
      <c r="D57" s="51">
        <f t="shared" ref="D57" si="15">D48+D49-D53+D55</f>
        <v>61008725.199999988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-111336994.29999995</v>
      </c>
      <c r="C59" s="51">
        <f t="shared" ref="C59:D59" si="16">C57-C49</f>
        <v>59139383.629999995</v>
      </c>
      <c r="D59" s="51">
        <f t="shared" si="16"/>
        <v>61008725.199999988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222077649</v>
      </c>
      <c r="C63" s="101">
        <f t="shared" ref="C63:D63" si="17">C10</f>
        <v>144488179.91999999</v>
      </c>
      <c r="D63" s="101">
        <f t="shared" si="17"/>
        <v>144488179.91999999</v>
      </c>
    </row>
    <row r="64" spans="1:4" ht="30" x14ac:dyDescent="0.25">
      <c r="A64" s="105" t="s">
        <v>202</v>
      </c>
      <c r="B64" s="33">
        <f>B65-B66</f>
        <v>-5932944</v>
      </c>
      <c r="C64" s="33">
        <f t="shared" ref="C64:D64" si="18">C65-C66</f>
        <v>-2966472</v>
      </c>
      <c r="D64" s="33">
        <f t="shared" si="18"/>
        <v>-2966472</v>
      </c>
    </row>
    <row r="65" spans="1:4" x14ac:dyDescent="0.25">
      <c r="A65" s="106" t="s">
        <v>193</v>
      </c>
      <c r="B65" s="17">
        <v>0</v>
      </c>
      <c r="C65" s="17">
        <v>0</v>
      </c>
      <c r="D65" s="17">
        <v>0</v>
      </c>
    </row>
    <row r="66" spans="1:4" x14ac:dyDescent="0.25">
      <c r="A66" s="106" t="s">
        <v>196</v>
      </c>
      <c r="B66" s="161">
        <v>5932944</v>
      </c>
      <c r="C66" s="161">
        <v>2966472</v>
      </c>
      <c r="D66" s="161">
        <v>2966472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222077649</v>
      </c>
      <c r="C68" s="17">
        <f t="shared" ref="C68:D68" si="19">C15</f>
        <v>46029735.390000001</v>
      </c>
      <c r="D68" s="17">
        <f t="shared" si="19"/>
        <v>46029735.390000001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-5932944</v>
      </c>
      <c r="C72" s="33">
        <f t="shared" ref="C72:D72" si="21">C63+C64-C68+C70</f>
        <v>95491972.529999986</v>
      </c>
      <c r="D72" s="33">
        <f t="shared" si="21"/>
        <v>95491972.529999986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98458444.529999986</v>
      </c>
      <c r="D74" s="33">
        <f t="shared" ref="D74" si="22">D72-D64</f>
        <v>98458444.529999986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930790775</v>
      </c>
      <c r="Q2" s="13">
        <f>'Formato 4'!C8</f>
        <v>542392969.87</v>
      </c>
      <c r="R2" s="13">
        <f>'Formato 4'!D8</f>
        <v>542392969.87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708713126</v>
      </c>
      <c r="Q3" s="13">
        <f>'Formato 4'!C9</f>
        <v>397904789.94999999</v>
      </c>
      <c r="R3" s="13">
        <f>'Formato 4'!D9</f>
        <v>397904789.94999999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222077649</v>
      </c>
      <c r="Q4" s="13">
        <f>'Formato 4'!C10</f>
        <v>144488179.91999999</v>
      </c>
      <c r="R4" s="13">
        <f>'Formato 4'!D10</f>
        <v>144488179.91999999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1042127769.3</v>
      </c>
      <c r="Q6" s="13">
        <f>'Formato 4'!C13</f>
        <v>384795141.70999998</v>
      </c>
      <c r="R6" s="13">
        <f>'Formato 4'!D13</f>
        <v>382925800.13999999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820050120.29999995</v>
      </c>
      <c r="Q7" s="13">
        <f>'Formato 4'!C14</f>
        <v>338765406.31999999</v>
      </c>
      <c r="R7" s="13">
        <f>'Formato 4'!D14</f>
        <v>336896064.75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222077649</v>
      </c>
      <c r="Q8" s="13">
        <f>'Formato 4'!C15</f>
        <v>46029735.390000001</v>
      </c>
      <c r="R8" s="13">
        <f>'Formato 4'!D15</f>
        <v>46029735.390000001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-111336994.29999995</v>
      </c>
      <c r="Q12" s="13">
        <f>'Formato 4'!C21</f>
        <v>157597828.16000003</v>
      </c>
      <c r="R12" s="13">
        <f>'Formato 4'!D21</f>
        <v>159467169.73000002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-111336994.29999995</v>
      </c>
      <c r="Q13" s="13">
        <f>'Formato 4'!C23</f>
        <v>157597828.16000003</v>
      </c>
      <c r="R13" s="13">
        <f>'Formato 4'!D23</f>
        <v>159467169.73000002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-111336994.29999995</v>
      </c>
      <c r="Q14" s="13">
        <f>'Formato 4'!C25</f>
        <v>157597828.16000003</v>
      </c>
      <c r="R14" s="13">
        <f>'Formato 4'!D25</f>
        <v>159467169.73000002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13132809.050000001</v>
      </c>
      <c r="Q15">
        <f>'Formato 4'!C29</f>
        <v>1146937.04</v>
      </c>
      <c r="R15">
        <f>'Formato 4'!D29</f>
        <v>1146937.04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9532809.0500000007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3600000</v>
      </c>
      <c r="Q17">
        <f>'Formato 4'!C31</f>
        <v>1146937.04</v>
      </c>
      <c r="R17">
        <f>'Formato 4'!D31</f>
        <v>1146937.04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-98204185.249999955</v>
      </c>
      <c r="Q18">
        <f>'Formato 4'!C33</f>
        <v>158744765.20000002</v>
      </c>
      <c r="R18">
        <f>'Formato 4'!D33</f>
        <v>160614106.77000001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12590005.120000001</v>
      </c>
      <c r="Q22">
        <f>'Formato 4'!C40</f>
        <v>2966472</v>
      </c>
      <c r="R22">
        <f>'Formato 4'!D40</f>
        <v>2966472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6657061.1200000001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5932944</v>
      </c>
      <c r="Q24">
        <f>'Formato 4'!C42</f>
        <v>2966472</v>
      </c>
      <c r="R24">
        <f>'Formato 4'!D42</f>
        <v>2966472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-12590005.120000001</v>
      </c>
      <c r="Q25">
        <f>'Formato 4'!C44</f>
        <v>-2966472</v>
      </c>
      <c r="R25">
        <f>'Formato 4'!D44</f>
        <v>-2966472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708713126</v>
      </c>
      <c r="Q26">
        <f>'Formato 4'!C48</f>
        <v>397904789.94999999</v>
      </c>
      <c r="R26">
        <f>'Formato 4'!D48</f>
        <v>397904789.94999999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-6657061.1200000001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6657061.1200000001</v>
      </c>
      <c r="Q29">
        <f>'Formato 4'!C51</f>
        <v>0</v>
      </c>
      <c r="R29">
        <f>'Formato 4'!D51</f>
        <v>0</v>
      </c>
    </row>
    <row r="30" spans="1:18" ht="14.25" x14ac:dyDescent="0.4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820050120.29999995</v>
      </c>
      <c r="Q30">
        <f>'Formato 4'!C53</f>
        <v>338765406.31999999</v>
      </c>
      <c r="R30">
        <f>'Formato 4'!D53</f>
        <v>336896064.75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222077649</v>
      </c>
      <c r="Q32">
        <f>'Formato 4'!C63</f>
        <v>144488179.91999999</v>
      </c>
      <c r="R32">
        <f>'Formato 4'!D63</f>
        <v>144488179.91999999</v>
      </c>
    </row>
    <row r="33" spans="1:18" ht="14.25" x14ac:dyDescent="0.4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-5932944</v>
      </c>
      <c r="Q33">
        <f>'Formato 4'!C64</f>
        <v>-2966472</v>
      </c>
      <c r="R33">
        <f>'Formato 4'!D64</f>
        <v>-2966472</v>
      </c>
    </row>
    <row r="34" spans="1:18" ht="14.25" x14ac:dyDescent="0.4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5932944</v>
      </c>
      <c r="Q35">
        <f>'Formato 4'!C66</f>
        <v>2966472</v>
      </c>
      <c r="R35">
        <f>'Formato 4'!D66</f>
        <v>2966472</v>
      </c>
    </row>
    <row r="36" spans="1:18" ht="14.25" x14ac:dyDescent="0.4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222077649</v>
      </c>
      <c r="Q36">
        <f>'Formato 4'!C68</f>
        <v>46029735.390000001</v>
      </c>
      <c r="R36">
        <f>'Formato 4'!D68</f>
        <v>46029735.390000001</v>
      </c>
    </row>
    <row r="37" spans="1:18" ht="14.25" x14ac:dyDescent="0.4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-5932944</v>
      </c>
      <c r="Q38">
        <f>'Formato 4'!C72</f>
        <v>95491972.529999986</v>
      </c>
      <c r="R38">
        <f>'Formato 4'!D72</f>
        <v>95491972.529999986</v>
      </c>
    </row>
    <row r="39" spans="1:18" ht="14.25" x14ac:dyDescent="0.4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98458444.529999986</v>
      </c>
      <c r="R39">
        <f>'Formato 4'!D74</f>
        <v>98458444.529999986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40" zoomScale="85" zoomScaleNormal="85" workbookViewId="0">
      <selection activeCell="B73" sqref="B73:G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1" t="s">
        <v>206</v>
      </c>
      <c r="B1" s="141"/>
      <c r="C1" s="141"/>
      <c r="D1" s="141"/>
      <c r="E1" s="141"/>
      <c r="F1" s="141"/>
      <c r="G1" s="141"/>
    </row>
    <row r="2" spans="1:8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8"/>
    </row>
    <row r="3" spans="1:8" x14ac:dyDescent="0.25">
      <c r="A3" s="129" t="s">
        <v>207</v>
      </c>
      <c r="B3" s="130"/>
      <c r="C3" s="130"/>
      <c r="D3" s="130"/>
      <c r="E3" s="130"/>
      <c r="F3" s="130"/>
      <c r="G3" s="131"/>
    </row>
    <row r="4" spans="1:8" ht="14.25" x14ac:dyDescent="0.45">
      <c r="A4" s="129" t="str">
        <f>TRIMESTRE</f>
        <v>Del 1 de enero al 30 de junio de 2019 (b)</v>
      </c>
      <c r="B4" s="130"/>
      <c r="C4" s="130"/>
      <c r="D4" s="130"/>
      <c r="E4" s="130"/>
      <c r="F4" s="130"/>
      <c r="G4" s="131"/>
    </row>
    <row r="5" spans="1:8" ht="14.25" x14ac:dyDescent="0.45">
      <c r="A5" s="132" t="s">
        <v>118</v>
      </c>
      <c r="B5" s="133"/>
      <c r="C5" s="133"/>
      <c r="D5" s="133"/>
      <c r="E5" s="133"/>
      <c r="F5" s="133"/>
      <c r="G5" s="134"/>
    </row>
    <row r="6" spans="1:8" x14ac:dyDescent="0.25">
      <c r="A6" s="138" t="s">
        <v>214</v>
      </c>
      <c r="B6" s="140" t="s">
        <v>208</v>
      </c>
      <c r="C6" s="140"/>
      <c r="D6" s="140"/>
      <c r="E6" s="140"/>
      <c r="F6" s="140"/>
      <c r="G6" s="140" t="s">
        <v>209</v>
      </c>
    </row>
    <row r="7" spans="1:8" ht="30" x14ac:dyDescent="0.25">
      <c r="A7" s="13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163">
        <v>343820483</v>
      </c>
      <c r="C9" s="163">
        <v>24441278.489999998</v>
      </c>
      <c r="D9" s="164">
        <f>B9+C9</f>
        <v>368261761.49000001</v>
      </c>
      <c r="E9" s="163">
        <v>204895525.91999999</v>
      </c>
      <c r="F9" s="163">
        <v>204895525.91999999</v>
      </c>
      <c r="G9" s="164">
        <f>F9-B9</f>
        <v>-138924957.08000001</v>
      </c>
      <c r="H9" s="6"/>
    </row>
    <row r="10" spans="1:8" x14ac:dyDescent="0.25">
      <c r="A10" s="45" t="s">
        <v>217</v>
      </c>
      <c r="B10" s="163">
        <v>0</v>
      </c>
      <c r="C10" s="163">
        <v>0</v>
      </c>
      <c r="D10" s="164">
        <f t="shared" ref="D10:D15" si="0">B10+C10</f>
        <v>0</v>
      </c>
      <c r="E10" s="163">
        <v>0</v>
      </c>
      <c r="F10" s="163">
        <v>0</v>
      </c>
      <c r="G10" s="164">
        <f t="shared" ref="G10:G15" si="1">F10-B10</f>
        <v>0</v>
      </c>
    </row>
    <row r="11" spans="1:8" x14ac:dyDescent="0.25">
      <c r="A11" s="45" t="s">
        <v>218</v>
      </c>
      <c r="B11" s="163">
        <v>1587858</v>
      </c>
      <c r="C11" s="163">
        <v>1237994.74</v>
      </c>
      <c r="D11" s="164">
        <f t="shared" si="0"/>
        <v>2825852.74</v>
      </c>
      <c r="E11" s="163">
        <v>2825852.74</v>
      </c>
      <c r="F11" s="163">
        <v>2825852.74</v>
      </c>
      <c r="G11" s="164">
        <f t="shared" si="1"/>
        <v>1237994.7400000002</v>
      </c>
    </row>
    <row r="12" spans="1:8" x14ac:dyDescent="0.25">
      <c r="A12" s="45" t="s">
        <v>219</v>
      </c>
      <c r="B12" s="163">
        <v>99937491</v>
      </c>
      <c r="C12" s="163">
        <v>-6238453.0700000003</v>
      </c>
      <c r="D12" s="164">
        <f t="shared" si="0"/>
        <v>93699037.930000007</v>
      </c>
      <c r="E12" s="163">
        <v>37507188.530000001</v>
      </c>
      <c r="F12" s="163">
        <v>37507188.530000001</v>
      </c>
      <c r="G12" s="164">
        <f t="shared" si="1"/>
        <v>-62430302.469999999</v>
      </c>
    </row>
    <row r="13" spans="1:8" x14ac:dyDescent="0.25">
      <c r="A13" s="45" t="s">
        <v>220</v>
      </c>
      <c r="B13" s="163">
        <v>11147871</v>
      </c>
      <c r="C13" s="163">
        <v>2236113.0499999998</v>
      </c>
      <c r="D13" s="164">
        <f t="shared" si="0"/>
        <v>13383984.050000001</v>
      </c>
      <c r="E13" s="163">
        <v>10120994.699999999</v>
      </c>
      <c r="F13" s="163">
        <v>10120994.699999999</v>
      </c>
      <c r="G13" s="164">
        <f t="shared" si="1"/>
        <v>-1026876.3000000007</v>
      </c>
    </row>
    <row r="14" spans="1:8" x14ac:dyDescent="0.25">
      <c r="A14" s="45" t="s">
        <v>221</v>
      </c>
      <c r="B14" s="163">
        <v>10197693</v>
      </c>
      <c r="C14" s="163">
        <v>3127553.08</v>
      </c>
      <c r="D14" s="164">
        <f t="shared" si="0"/>
        <v>13325246.08</v>
      </c>
      <c r="E14" s="163">
        <v>7487750.6799999997</v>
      </c>
      <c r="F14" s="163">
        <v>7487750.6799999997</v>
      </c>
      <c r="G14" s="164">
        <f t="shared" si="1"/>
        <v>-2709942.3200000003</v>
      </c>
    </row>
    <row r="15" spans="1:8" x14ac:dyDescent="0.25">
      <c r="A15" s="45" t="s">
        <v>222</v>
      </c>
      <c r="B15" s="163">
        <v>0</v>
      </c>
      <c r="C15" s="163">
        <v>0</v>
      </c>
      <c r="D15" s="164">
        <f t="shared" si="0"/>
        <v>0</v>
      </c>
      <c r="E15" s="163">
        <v>0</v>
      </c>
      <c r="F15" s="163">
        <v>0</v>
      </c>
      <c r="G15" s="164">
        <f t="shared" si="1"/>
        <v>0</v>
      </c>
    </row>
    <row r="16" spans="1:8" ht="14.25" x14ac:dyDescent="0.45">
      <c r="A16" s="8" t="s">
        <v>275</v>
      </c>
      <c r="B16" s="50">
        <f>SUM(B17:B27)</f>
        <v>242021730</v>
      </c>
      <c r="C16" s="50">
        <f t="shared" ref="C16:F16" si="2">SUM(C17:C27)</f>
        <v>2744455.54</v>
      </c>
      <c r="D16" s="50">
        <f t="shared" si="2"/>
        <v>244766185.53999999</v>
      </c>
      <c r="E16" s="50">
        <f t="shared" si="2"/>
        <v>135067477.38</v>
      </c>
      <c r="F16" s="50">
        <f t="shared" si="2"/>
        <v>135067477.38</v>
      </c>
      <c r="G16" s="50">
        <f>SUM(G17:G27)</f>
        <v>-106954252.62</v>
      </c>
    </row>
    <row r="17" spans="1:7" x14ac:dyDescent="0.25">
      <c r="A17" s="53" t="s">
        <v>223</v>
      </c>
      <c r="B17" s="163">
        <v>242021730</v>
      </c>
      <c r="C17" s="163">
        <v>2744455.54</v>
      </c>
      <c r="D17" s="164">
        <f t="shared" ref="D17:D27" si="3">B17+C17</f>
        <v>244766185.53999999</v>
      </c>
      <c r="E17" s="163">
        <v>135067477.38</v>
      </c>
      <c r="F17" s="163">
        <v>135067477.38</v>
      </c>
      <c r="G17" s="164">
        <f t="shared" ref="G17:G27" si="4">F17-B17</f>
        <v>-106954252.62</v>
      </c>
    </row>
    <row r="18" spans="1:7" x14ac:dyDescent="0.25">
      <c r="A18" s="53" t="s">
        <v>224</v>
      </c>
      <c r="B18" s="164"/>
      <c r="C18" s="164"/>
      <c r="D18" s="164">
        <f t="shared" si="3"/>
        <v>0</v>
      </c>
      <c r="E18" s="164"/>
      <c r="F18" s="164"/>
      <c r="G18" s="164">
        <f t="shared" si="4"/>
        <v>0</v>
      </c>
    </row>
    <row r="19" spans="1:7" x14ac:dyDescent="0.25">
      <c r="A19" s="53" t="s">
        <v>225</v>
      </c>
      <c r="B19" s="164"/>
      <c r="C19" s="164"/>
      <c r="D19" s="164">
        <f t="shared" si="3"/>
        <v>0</v>
      </c>
      <c r="E19" s="164"/>
      <c r="F19" s="164"/>
      <c r="G19" s="164">
        <f t="shared" si="4"/>
        <v>0</v>
      </c>
    </row>
    <row r="20" spans="1:7" x14ac:dyDescent="0.25">
      <c r="A20" s="53" t="s">
        <v>226</v>
      </c>
      <c r="B20" s="164"/>
      <c r="C20" s="164"/>
      <c r="D20" s="164">
        <f t="shared" si="3"/>
        <v>0</v>
      </c>
      <c r="E20" s="164"/>
      <c r="F20" s="164"/>
      <c r="G20" s="164">
        <f t="shared" si="4"/>
        <v>0</v>
      </c>
    </row>
    <row r="21" spans="1:7" x14ac:dyDescent="0.25">
      <c r="A21" s="53" t="s">
        <v>227</v>
      </c>
      <c r="B21" s="164"/>
      <c r="C21" s="164"/>
      <c r="D21" s="164">
        <f t="shared" si="3"/>
        <v>0</v>
      </c>
      <c r="E21" s="164"/>
      <c r="F21" s="164"/>
      <c r="G21" s="164">
        <f t="shared" si="4"/>
        <v>0</v>
      </c>
    </row>
    <row r="22" spans="1:7" x14ac:dyDescent="0.25">
      <c r="A22" s="53" t="s">
        <v>228</v>
      </c>
      <c r="B22" s="164"/>
      <c r="C22" s="164"/>
      <c r="D22" s="164">
        <f t="shared" si="3"/>
        <v>0</v>
      </c>
      <c r="E22" s="164"/>
      <c r="F22" s="164"/>
      <c r="G22" s="164">
        <f t="shared" si="4"/>
        <v>0</v>
      </c>
    </row>
    <row r="23" spans="1:7" x14ac:dyDescent="0.25">
      <c r="A23" s="53" t="s">
        <v>229</v>
      </c>
      <c r="B23" s="164"/>
      <c r="C23" s="164"/>
      <c r="D23" s="164">
        <f t="shared" si="3"/>
        <v>0</v>
      </c>
      <c r="E23" s="164"/>
      <c r="F23" s="164"/>
      <c r="G23" s="164">
        <f t="shared" si="4"/>
        <v>0</v>
      </c>
    </row>
    <row r="24" spans="1:7" x14ac:dyDescent="0.25">
      <c r="A24" s="53" t="s">
        <v>230</v>
      </c>
      <c r="B24" s="164"/>
      <c r="C24" s="164"/>
      <c r="D24" s="164">
        <f t="shared" si="3"/>
        <v>0</v>
      </c>
      <c r="E24" s="164"/>
      <c r="F24" s="164"/>
      <c r="G24" s="164">
        <f t="shared" si="4"/>
        <v>0</v>
      </c>
    </row>
    <row r="25" spans="1:7" x14ac:dyDescent="0.25">
      <c r="A25" s="53" t="s">
        <v>231</v>
      </c>
      <c r="B25" s="164"/>
      <c r="C25" s="164"/>
      <c r="D25" s="164">
        <f t="shared" si="3"/>
        <v>0</v>
      </c>
      <c r="E25" s="164"/>
      <c r="F25" s="164"/>
      <c r="G25" s="164">
        <f t="shared" si="4"/>
        <v>0</v>
      </c>
    </row>
    <row r="26" spans="1:7" x14ac:dyDescent="0.25">
      <c r="A26" s="53" t="s">
        <v>232</v>
      </c>
      <c r="B26" s="164"/>
      <c r="C26" s="164"/>
      <c r="D26" s="164">
        <f t="shared" si="3"/>
        <v>0</v>
      </c>
      <c r="E26" s="164"/>
      <c r="F26" s="164"/>
      <c r="G26" s="164">
        <f t="shared" si="4"/>
        <v>0</v>
      </c>
    </row>
    <row r="27" spans="1:7" x14ac:dyDescent="0.25">
      <c r="A27" s="53" t="s">
        <v>233</v>
      </c>
      <c r="B27" s="164"/>
      <c r="C27" s="164"/>
      <c r="D27" s="164">
        <f t="shared" si="3"/>
        <v>0</v>
      </c>
      <c r="E27" s="164"/>
      <c r="F27" s="164"/>
      <c r="G27" s="164">
        <f t="shared" si="4"/>
        <v>0</v>
      </c>
    </row>
    <row r="28" spans="1:7" x14ac:dyDescent="0.25">
      <c r="A28" s="45" t="s">
        <v>234</v>
      </c>
      <c r="B28" s="50">
        <f>SUM(B29:B33)</f>
        <v>2490430</v>
      </c>
      <c r="C28" s="50">
        <f t="shared" ref="C28:G28" si="5">SUM(C29:C33)</f>
        <v>0</v>
      </c>
      <c r="D28" s="50">
        <f t="shared" si="5"/>
        <v>2490430</v>
      </c>
      <c r="E28" s="50">
        <f t="shared" si="5"/>
        <v>899418.57</v>
      </c>
      <c r="F28" s="50">
        <f t="shared" si="5"/>
        <v>899418.57</v>
      </c>
      <c r="G28" s="50">
        <f t="shared" si="5"/>
        <v>-1591011.4300000002</v>
      </c>
    </row>
    <row r="29" spans="1:7" x14ac:dyDescent="0.25">
      <c r="A29" s="53" t="s">
        <v>235</v>
      </c>
      <c r="B29" s="163">
        <v>2490430</v>
      </c>
      <c r="C29" s="163">
        <v>0</v>
      </c>
      <c r="D29" s="164">
        <f t="shared" ref="D29:D33" si="6">B29+C29</f>
        <v>2490430</v>
      </c>
      <c r="E29" s="163">
        <v>899418.57</v>
      </c>
      <c r="F29" s="163">
        <v>899418.57</v>
      </c>
      <c r="G29" s="164">
        <f t="shared" ref="G29:G35" si="7">F29-B29</f>
        <v>-1591011.4300000002</v>
      </c>
    </row>
    <row r="30" spans="1:7" x14ac:dyDescent="0.25">
      <c r="A30" s="53" t="s">
        <v>236</v>
      </c>
      <c r="B30" s="164"/>
      <c r="C30" s="164"/>
      <c r="D30" s="164">
        <f t="shared" si="6"/>
        <v>0</v>
      </c>
      <c r="E30" s="164"/>
      <c r="F30" s="164"/>
      <c r="G30" s="164">
        <f t="shared" si="7"/>
        <v>0</v>
      </c>
    </row>
    <row r="31" spans="1:7" x14ac:dyDescent="0.25">
      <c r="A31" s="53" t="s">
        <v>237</v>
      </c>
      <c r="B31" s="164"/>
      <c r="C31" s="164"/>
      <c r="D31" s="164">
        <f t="shared" si="6"/>
        <v>0</v>
      </c>
      <c r="E31" s="164"/>
      <c r="F31" s="164"/>
      <c r="G31" s="164">
        <f t="shared" si="7"/>
        <v>0</v>
      </c>
    </row>
    <row r="32" spans="1:7" x14ac:dyDescent="0.25">
      <c r="A32" s="53" t="s">
        <v>238</v>
      </c>
      <c r="B32" s="164"/>
      <c r="C32" s="164"/>
      <c r="D32" s="164">
        <f t="shared" si="6"/>
        <v>0</v>
      </c>
      <c r="E32" s="164"/>
      <c r="F32" s="164"/>
      <c r="G32" s="164">
        <f t="shared" si="7"/>
        <v>0</v>
      </c>
    </row>
    <row r="33" spans="1:8" x14ac:dyDescent="0.25">
      <c r="A33" s="53" t="s">
        <v>239</v>
      </c>
      <c r="B33" s="164"/>
      <c r="C33" s="164"/>
      <c r="D33" s="164">
        <f t="shared" si="6"/>
        <v>0</v>
      </c>
      <c r="E33" s="164"/>
      <c r="F33" s="164"/>
      <c r="G33" s="164">
        <f t="shared" si="7"/>
        <v>0</v>
      </c>
    </row>
    <row r="34" spans="1:8" x14ac:dyDescent="0.25">
      <c r="A34" s="45" t="s">
        <v>240</v>
      </c>
      <c r="B34" s="163">
        <v>0</v>
      </c>
      <c r="C34" s="163">
        <v>0</v>
      </c>
      <c r="D34" s="164">
        <f>B34+C34</f>
        <v>0</v>
      </c>
      <c r="E34" s="163">
        <v>0</v>
      </c>
      <c r="F34" s="163">
        <v>0</v>
      </c>
      <c r="G34" s="164">
        <f t="shared" si="7"/>
        <v>0</v>
      </c>
    </row>
    <row r="35" spans="1:8" x14ac:dyDescent="0.25">
      <c r="A35" s="45" t="s">
        <v>241</v>
      </c>
      <c r="B35" s="50">
        <f>B36</f>
        <v>160157</v>
      </c>
      <c r="C35" s="50">
        <f t="shared" ref="C35:F35" si="8">C36</f>
        <v>10000</v>
      </c>
      <c r="D35" s="50">
        <f t="shared" si="8"/>
        <v>170157</v>
      </c>
      <c r="E35" s="50">
        <f t="shared" si="8"/>
        <v>83332</v>
      </c>
      <c r="F35" s="50">
        <f t="shared" si="8"/>
        <v>83332</v>
      </c>
      <c r="G35" s="50">
        <f>G36</f>
        <v>-76825</v>
      </c>
    </row>
    <row r="36" spans="1:8" x14ac:dyDescent="0.25">
      <c r="A36" s="53" t="s">
        <v>242</v>
      </c>
      <c r="B36" s="163">
        <v>160157</v>
      </c>
      <c r="C36" s="163">
        <v>10000</v>
      </c>
      <c r="D36" s="164">
        <f>B36+C36</f>
        <v>170157</v>
      </c>
      <c r="E36" s="163">
        <v>83332</v>
      </c>
      <c r="F36" s="163">
        <v>83332</v>
      </c>
      <c r="G36" s="164">
        <f t="shared" ref="G36" si="9">F36-B36</f>
        <v>-76825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10">C38+C39</f>
        <v>0</v>
      </c>
      <c r="D37" s="50">
        <f t="shared" si="10"/>
        <v>0</v>
      </c>
      <c r="E37" s="50">
        <f t="shared" si="10"/>
        <v>0</v>
      </c>
      <c r="F37" s="50">
        <f t="shared" si="10"/>
        <v>0</v>
      </c>
      <c r="G37" s="50">
        <f t="shared" si="10"/>
        <v>0</v>
      </c>
    </row>
    <row r="38" spans="1:8" x14ac:dyDescent="0.25">
      <c r="A38" s="53" t="s">
        <v>244</v>
      </c>
      <c r="B38" s="164"/>
      <c r="C38" s="164"/>
      <c r="D38" s="164">
        <f>B38+C38</f>
        <v>0</v>
      </c>
      <c r="E38" s="164"/>
      <c r="F38" s="164"/>
      <c r="G38" s="164">
        <f t="shared" ref="G38:G39" si="11">F38-B38</f>
        <v>0</v>
      </c>
    </row>
    <row r="39" spans="1:8" x14ac:dyDescent="0.25">
      <c r="A39" s="53" t="s">
        <v>245</v>
      </c>
      <c r="B39" s="164"/>
      <c r="C39" s="164"/>
      <c r="D39" s="164">
        <f>B39+C39</f>
        <v>0</v>
      </c>
      <c r="E39" s="164"/>
      <c r="F39" s="164"/>
      <c r="G39" s="164">
        <f t="shared" si="11"/>
        <v>0</v>
      </c>
    </row>
    <row r="40" spans="1:8" ht="14.25" x14ac:dyDescent="0.4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711363713</v>
      </c>
      <c r="C41" s="51">
        <f t="shared" ref="C41:E41" si="12">SUM(C9,C10,C11,C12,C13,C14,C15,C16,C28,C34,C35,C37)</f>
        <v>27558941.829999998</v>
      </c>
      <c r="D41" s="51">
        <f t="shared" si="12"/>
        <v>738922654.83000004</v>
      </c>
      <c r="E41" s="51">
        <f t="shared" si="12"/>
        <v>398887540.51999998</v>
      </c>
      <c r="F41" s="51">
        <f>SUM(F9,F10,F11,F12,F13,F14,F15,F16,F28,F34,F35,F37)</f>
        <v>398887540.51999998</v>
      </c>
      <c r="G41" s="51">
        <f>SUM(G9,G10,G11,G12,G13,G14,G15,G16,G28,G34,G35,G37)</f>
        <v>-312476172.48000002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222077649</v>
      </c>
      <c r="C45" s="50">
        <f t="shared" ref="C45:G45" si="13">SUM(C46:C53)</f>
        <v>12423264</v>
      </c>
      <c r="D45" s="50">
        <f t="shared" si="13"/>
        <v>234500913</v>
      </c>
      <c r="E45" s="50">
        <f t="shared" si="13"/>
        <v>130138931.64</v>
      </c>
      <c r="F45" s="50">
        <f t="shared" si="13"/>
        <v>130138931.64</v>
      </c>
      <c r="G45" s="50">
        <f t="shared" si="13"/>
        <v>-91938717.359999999</v>
      </c>
    </row>
    <row r="46" spans="1:8" x14ac:dyDescent="0.25">
      <c r="A46" s="58" t="s">
        <v>249</v>
      </c>
      <c r="B46" s="164"/>
      <c r="C46" s="164"/>
      <c r="D46" s="164">
        <f>B46+C46</f>
        <v>0</v>
      </c>
      <c r="E46" s="164"/>
      <c r="F46" s="164"/>
      <c r="G46" s="164">
        <f>F46-B46</f>
        <v>0</v>
      </c>
    </row>
    <row r="47" spans="1:8" x14ac:dyDescent="0.25">
      <c r="A47" s="58" t="s">
        <v>250</v>
      </c>
      <c r="B47" s="164"/>
      <c r="C47" s="164"/>
      <c r="D47" s="164">
        <f t="shared" ref="D47:D53" si="14">B47+C47</f>
        <v>0</v>
      </c>
      <c r="E47" s="164"/>
      <c r="F47" s="164"/>
      <c r="G47" s="164">
        <f t="shared" ref="G47:G48" si="15">F47-B47</f>
        <v>0</v>
      </c>
    </row>
    <row r="48" spans="1:8" x14ac:dyDescent="0.25">
      <c r="A48" s="58" t="s">
        <v>251</v>
      </c>
      <c r="B48" s="163">
        <v>115081758</v>
      </c>
      <c r="C48" s="163">
        <v>3115967</v>
      </c>
      <c r="D48" s="164">
        <f t="shared" si="14"/>
        <v>118197725</v>
      </c>
      <c r="E48" s="163">
        <v>71767179.560000002</v>
      </c>
      <c r="F48" s="163">
        <v>71767179.560000002</v>
      </c>
      <c r="G48" s="164">
        <f t="shared" si="15"/>
        <v>-43314578.439999998</v>
      </c>
    </row>
    <row r="49" spans="1:7" ht="30" x14ac:dyDescent="0.25">
      <c r="A49" s="58" t="s">
        <v>252</v>
      </c>
      <c r="B49" s="163">
        <v>106995891</v>
      </c>
      <c r="C49" s="163">
        <v>9307297</v>
      </c>
      <c r="D49" s="164">
        <f t="shared" si="14"/>
        <v>116303188</v>
      </c>
      <c r="E49" s="163">
        <v>58371752.079999998</v>
      </c>
      <c r="F49" s="163">
        <v>58371752.079999998</v>
      </c>
      <c r="G49" s="164">
        <f>F49-B49</f>
        <v>-48624138.920000002</v>
      </c>
    </row>
    <row r="50" spans="1:7" x14ac:dyDescent="0.25">
      <c r="A50" s="58" t="s">
        <v>253</v>
      </c>
      <c r="B50" s="164"/>
      <c r="C50" s="164"/>
      <c r="D50" s="164">
        <f t="shared" si="14"/>
        <v>0</v>
      </c>
      <c r="E50" s="164"/>
      <c r="F50" s="164"/>
      <c r="G50" s="164">
        <f t="shared" ref="G50:G53" si="16">F50-B50</f>
        <v>0</v>
      </c>
    </row>
    <row r="51" spans="1:7" x14ac:dyDescent="0.25">
      <c r="A51" s="58" t="s">
        <v>254</v>
      </c>
      <c r="B51" s="164"/>
      <c r="C51" s="164"/>
      <c r="D51" s="164">
        <f t="shared" si="14"/>
        <v>0</v>
      </c>
      <c r="E51" s="164"/>
      <c r="F51" s="164"/>
      <c r="G51" s="164">
        <f t="shared" si="16"/>
        <v>0</v>
      </c>
    </row>
    <row r="52" spans="1:7" x14ac:dyDescent="0.25">
      <c r="A52" s="40" t="s">
        <v>255</v>
      </c>
      <c r="B52" s="164"/>
      <c r="C52" s="164"/>
      <c r="D52" s="164">
        <f t="shared" si="14"/>
        <v>0</v>
      </c>
      <c r="E52" s="164"/>
      <c r="F52" s="164"/>
      <c r="G52" s="164">
        <f t="shared" si="16"/>
        <v>0</v>
      </c>
    </row>
    <row r="53" spans="1:7" x14ac:dyDescent="0.25">
      <c r="A53" s="53" t="s">
        <v>256</v>
      </c>
      <c r="B53" s="164"/>
      <c r="C53" s="164"/>
      <c r="D53" s="164">
        <f t="shared" si="14"/>
        <v>0</v>
      </c>
      <c r="E53" s="164"/>
      <c r="F53" s="164"/>
      <c r="G53" s="164">
        <f t="shared" si="16"/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17">SUM(C55:C58)</f>
        <v>37146548.479999997</v>
      </c>
      <c r="D54" s="50">
        <f t="shared" si="17"/>
        <v>37146548.479999997</v>
      </c>
      <c r="E54" s="50">
        <f t="shared" si="17"/>
        <v>14349248.279999999</v>
      </c>
      <c r="F54" s="50">
        <f t="shared" si="17"/>
        <v>14349248.279999999</v>
      </c>
      <c r="G54" s="50">
        <f t="shared" si="17"/>
        <v>14349248.279999999</v>
      </c>
    </row>
    <row r="55" spans="1:7" x14ac:dyDescent="0.25">
      <c r="A55" s="40" t="s">
        <v>258</v>
      </c>
      <c r="B55" s="164"/>
      <c r="C55" s="164"/>
      <c r="D55" s="164">
        <f t="shared" ref="D55:D58" si="18">B55+C55</f>
        <v>0</v>
      </c>
      <c r="E55" s="164"/>
      <c r="F55" s="164"/>
      <c r="G55" s="164">
        <f t="shared" ref="G55:G58" si="19">F55-B55</f>
        <v>0</v>
      </c>
    </row>
    <row r="56" spans="1:7" x14ac:dyDescent="0.25">
      <c r="A56" s="58" t="s">
        <v>259</v>
      </c>
      <c r="B56" s="164"/>
      <c r="C56" s="164"/>
      <c r="D56" s="164">
        <f t="shared" si="18"/>
        <v>0</v>
      </c>
      <c r="E56" s="164"/>
      <c r="F56" s="164"/>
      <c r="G56" s="164">
        <f t="shared" si="19"/>
        <v>0</v>
      </c>
    </row>
    <row r="57" spans="1:7" x14ac:dyDescent="0.25">
      <c r="A57" s="58" t="s">
        <v>260</v>
      </c>
      <c r="B57" s="164"/>
      <c r="C57" s="164"/>
      <c r="D57" s="164">
        <f t="shared" si="18"/>
        <v>0</v>
      </c>
      <c r="E57" s="164"/>
      <c r="F57" s="164"/>
      <c r="G57" s="164">
        <f t="shared" si="19"/>
        <v>0</v>
      </c>
    </row>
    <row r="58" spans="1:7" x14ac:dyDescent="0.25">
      <c r="A58" s="40" t="s">
        <v>261</v>
      </c>
      <c r="B58" s="163">
        <v>0</v>
      </c>
      <c r="C58" s="163">
        <v>37146548.479999997</v>
      </c>
      <c r="D58" s="164">
        <f t="shared" si="18"/>
        <v>37146548.479999997</v>
      </c>
      <c r="E58" s="163">
        <v>14349248.279999999</v>
      </c>
      <c r="F58" s="163">
        <v>14349248.279999999</v>
      </c>
      <c r="G58" s="164">
        <f t="shared" si="19"/>
        <v>14349248.279999999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20">SUM(C60:C61)</f>
        <v>0</v>
      </c>
      <c r="D59" s="50">
        <f t="shared" si="20"/>
        <v>0</v>
      </c>
      <c r="E59" s="50">
        <f t="shared" si="20"/>
        <v>0</v>
      </c>
      <c r="F59" s="50">
        <f t="shared" si="20"/>
        <v>0</v>
      </c>
      <c r="G59" s="50">
        <f t="shared" si="20"/>
        <v>0</v>
      </c>
    </row>
    <row r="60" spans="1:7" x14ac:dyDescent="0.25">
      <c r="A60" s="58" t="s">
        <v>263</v>
      </c>
      <c r="B60" s="164"/>
      <c r="C60" s="164"/>
      <c r="D60" s="164">
        <f t="shared" ref="D60:D63" si="21">B60+C60</f>
        <v>0</v>
      </c>
      <c r="E60" s="164"/>
      <c r="F60" s="164"/>
      <c r="G60" s="164">
        <f t="shared" ref="G60:G63" si="22">F60-B60</f>
        <v>0</v>
      </c>
    </row>
    <row r="61" spans="1:7" x14ac:dyDescent="0.25">
      <c r="A61" s="58" t="s">
        <v>264</v>
      </c>
      <c r="B61" s="164"/>
      <c r="C61" s="164"/>
      <c r="D61" s="164">
        <f t="shared" si="21"/>
        <v>0</v>
      </c>
      <c r="E61" s="164"/>
      <c r="F61" s="164"/>
      <c r="G61" s="164">
        <f t="shared" si="22"/>
        <v>0</v>
      </c>
    </row>
    <row r="62" spans="1:7" x14ac:dyDescent="0.25">
      <c r="A62" s="45" t="s">
        <v>265</v>
      </c>
      <c r="B62" s="164"/>
      <c r="C62" s="164"/>
      <c r="D62" s="164">
        <f t="shared" si="21"/>
        <v>0</v>
      </c>
      <c r="E62" s="164"/>
      <c r="F62" s="164"/>
      <c r="G62" s="164">
        <f t="shared" si="22"/>
        <v>0</v>
      </c>
    </row>
    <row r="63" spans="1:7" x14ac:dyDescent="0.25">
      <c r="A63" s="45" t="s">
        <v>266</v>
      </c>
      <c r="B63" s="164"/>
      <c r="C63" s="164"/>
      <c r="D63" s="164">
        <f t="shared" si="21"/>
        <v>0</v>
      </c>
      <c r="E63" s="164"/>
      <c r="F63" s="164"/>
      <c r="G63" s="164">
        <f t="shared" si="22"/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222077649</v>
      </c>
      <c r="C65" s="51">
        <f t="shared" ref="C65:G65" si="23">C45+C54+C59+C62+C63</f>
        <v>49569812.479999997</v>
      </c>
      <c r="D65" s="51">
        <f t="shared" si="23"/>
        <v>271647461.48000002</v>
      </c>
      <c r="E65" s="51">
        <f t="shared" si="23"/>
        <v>144488179.91999999</v>
      </c>
      <c r="F65" s="51">
        <f t="shared" si="23"/>
        <v>144488179.91999999</v>
      </c>
      <c r="G65" s="51">
        <f t="shared" si="23"/>
        <v>-77589469.079999998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104911407.3</v>
      </c>
      <c r="C67" s="51">
        <f t="shared" ref="C67:G67" si="24">C68</f>
        <v>0</v>
      </c>
      <c r="D67" s="51">
        <f t="shared" si="24"/>
        <v>104911407.3</v>
      </c>
      <c r="E67" s="51">
        <f t="shared" si="24"/>
        <v>0</v>
      </c>
      <c r="F67" s="51">
        <f t="shared" si="24"/>
        <v>0</v>
      </c>
      <c r="G67" s="51">
        <f t="shared" si="24"/>
        <v>-104911407.3</v>
      </c>
    </row>
    <row r="68" spans="1:7" x14ac:dyDescent="0.25">
      <c r="A68" s="45" t="s">
        <v>269</v>
      </c>
      <c r="B68" s="163">
        <v>104911407.3</v>
      </c>
      <c r="C68" s="163">
        <v>0</v>
      </c>
      <c r="D68" s="164">
        <f>B68+C68</f>
        <v>104911407.3</v>
      </c>
      <c r="E68" s="163">
        <v>0</v>
      </c>
      <c r="F68" s="163">
        <v>0</v>
      </c>
      <c r="G68" s="164">
        <f t="shared" ref="G68" si="25">F68-B68</f>
        <v>-104911407.3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1038352769.3</v>
      </c>
      <c r="C70" s="51">
        <f t="shared" ref="C70:G70" si="26">C41+C65+C67</f>
        <v>77128754.310000002</v>
      </c>
      <c r="D70" s="51">
        <f t="shared" si="26"/>
        <v>1115481523.6100001</v>
      </c>
      <c r="E70" s="51">
        <f t="shared" si="26"/>
        <v>543375720.43999994</v>
      </c>
      <c r="F70" s="51">
        <f t="shared" si="26"/>
        <v>543375720.43999994</v>
      </c>
      <c r="G70" s="51">
        <f t="shared" si="26"/>
        <v>-494977048.86000001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163">
        <v>104911407.3</v>
      </c>
      <c r="C73" s="163">
        <v>0</v>
      </c>
      <c r="D73" s="164">
        <f t="shared" ref="D73:D74" si="27">B73+C73</f>
        <v>104911407.3</v>
      </c>
      <c r="E73" s="163">
        <v>0</v>
      </c>
      <c r="F73" s="163">
        <v>0</v>
      </c>
      <c r="G73" s="164">
        <f t="shared" ref="G73:G74" si="28">F73-B73</f>
        <v>-104911407.3</v>
      </c>
    </row>
    <row r="74" spans="1:7" ht="30" x14ac:dyDescent="0.25">
      <c r="A74" s="48" t="s">
        <v>273</v>
      </c>
      <c r="B74" s="163">
        <v>0</v>
      </c>
      <c r="C74" s="163">
        <v>0</v>
      </c>
      <c r="D74" s="164">
        <f t="shared" si="27"/>
        <v>0</v>
      </c>
      <c r="E74" s="163">
        <v>0</v>
      </c>
      <c r="F74" s="163">
        <v>0</v>
      </c>
      <c r="G74" s="164">
        <f t="shared" si="28"/>
        <v>0</v>
      </c>
    </row>
    <row r="75" spans="1:7" x14ac:dyDescent="0.25">
      <c r="A75" s="99" t="s">
        <v>274</v>
      </c>
      <c r="B75" s="51">
        <f>B73+B74</f>
        <v>104911407.3</v>
      </c>
      <c r="C75" s="51">
        <f t="shared" ref="C75:G75" si="29">C73+C74</f>
        <v>0</v>
      </c>
      <c r="D75" s="51">
        <f t="shared" si="29"/>
        <v>104911407.3</v>
      </c>
      <c r="E75" s="51">
        <f t="shared" si="29"/>
        <v>0</v>
      </c>
      <c r="F75" s="51">
        <f t="shared" si="29"/>
        <v>0</v>
      </c>
      <c r="G75" s="51">
        <f t="shared" si="29"/>
        <v>-104911407.3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343820483</v>
      </c>
      <c r="Q3" s="13">
        <f>'Formato 5'!C9</f>
        <v>24441278.489999998</v>
      </c>
      <c r="R3" s="13">
        <f>'Formato 5'!D9</f>
        <v>368261761.49000001</v>
      </c>
      <c r="S3" s="13">
        <f>'Formato 5'!E9</f>
        <v>204895525.91999999</v>
      </c>
      <c r="T3" s="13">
        <f>'Formato 5'!F9</f>
        <v>204895525.91999999</v>
      </c>
      <c r="U3" s="13">
        <f>'Formato 5'!G9</f>
        <v>-138924957.08000001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1587858</v>
      </c>
      <c r="Q5" s="13">
        <f>'Formato 5'!C11</f>
        <v>1237994.74</v>
      </c>
      <c r="R5" s="13">
        <f>'Formato 5'!D11</f>
        <v>2825852.74</v>
      </c>
      <c r="S5" s="13">
        <f>'Formato 5'!E11</f>
        <v>2825852.74</v>
      </c>
      <c r="T5" s="13">
        <f>'Formato 5'!F11</f>
        <v>2825852.74</v>
      </c>
      <c r="U5" s="13">
        <f>'Formato 5'!G11</f>
        <v>1237994.7400000002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99937491</v>
      </c>
      <c r="Q6" s="13">
        <f>'Formato 5'!C12</f>
        <v>-6238453.0700000003</v>
      </c>
      <c r="R6" s="13">
        <f>'Formato 5'!D12</f>
        <v>93699037.930000007</v>
      </c>
      <c r="S6" s="13">
        <f>'Formato 5'!E12</f>
        <v>37507188.530000001</v>
      </c>
      <c r="T6" s="13">
        <f>'Formato 5'!F12</f>
        <v>37507188.530000001</v>
      </c>
      <c r="U6" s="13">
        <f>'Formato 5'!G12</f>
        <v>-62430302.469999999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11147871</v>
      </c>
      <c r="Q7" s="13">
        <f>'Formato 5'!C13</f>
        <v>2236113.0499999998</v>
      </c>
      <c r="R7" s="13">
        <f>'Formato 5'!D13</f>
        <v>13383984.050000001</v>
      </c>
      <c r="S7" s="13">
        <f>'Formato 5'!E13</f>
        <v>10120994.699999999</v>
      </c>
      <c r="T7" s="13">
        <f>'Formato 5'!F13</f>
        <v>10120994.699999999</v>
      </c>
      <c r="U7" s="13">
        <f>'Formato 5'!G13</f>
        <v>-1026876.3000000007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10197693</v>
      </c>
      <c r="Q8" s="13">
        <f>'Formato 5'!C14</f>
        <v>3127553.08</v>
      </c>
      <c r="R8" s="13">
        <f>'Formato 5'!D14</f>
        <v>13325246.08</v>
      </c>
      <c r="S8" s="13">
        <f>'Formato 5'!E14</f>
        <v>7487750.6799999997</v>
      </c>
      <c r="T8" s="13">
        <f>'Formato 5'!F14</f>
        <v>7487750.6799999997</v>
      </c>
      <c r="U8" s="13">
        <f>'Formato 5'!G14</f>
        <v>-2709942.3200000003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0</v>
      </c>
      <c r="Q9" s="13">
        <f>'Formato 5'!C15</f>
        <v>0</v>
      </c>
      <c r="R9" s="13">
        <f>'Formato 5'!D15</f>
        <v>0</v>
      </c>
      <c r="S9" s="13">
        <f>'Formato 5'!E15</f>
        <v>0</v>
      </c>
      <c r="T9" s="13">
        <f>'Formato 5'!F15</f>
        <v>0</v>
      </c>
      <c r="U9" s="13">
        <f>'Formato 5'!G15</f>
        <v>0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242021730</v>
      </c>
      <c r="Q10" s="13">
        <f>'Formato 5'!C16</f>
        <v>2744455.54</v>
      </c>
      <c r="R10" s="13">
        <f>'Formato 5'!D16</f>
        <v>244766185.53999999</v>
      </c>
      <c r="S10" s="13">
        <f>'Formato 5'!E16</f>
        <v>135067477.38</v>
      </c>
      <c r="T10" s="13">
        <f>'Formato 5'!F16</f>
        <v>135067477.38</v>
      </c>
      <c r="U10" s="13">
        <f>'Formato 5'!G16</f>
        <v>-106954252.62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242021730</v>
      </c>
      <c r="Q11" s="13">
        <f>'Formato 5'!C17</f>
        <v>2744455.54</v>
      </c>
      <c r="R11" s="13">
        <f>'Formato 5'!D17</f>
        <v>244766185.53999999</v>
      </c>
      <c r="S11" s="13">
        <f>'Formato 5'!E17</f>
        <v>135067477.38</v>
      </c>
      <c r="T11" s="13">
        <f>'Formato 5'!F17</f>
        <v>135067477.38</v>
      </c>
      <c r="U11" s="13">
        <f>'Formato 5'!G17</f>
        <v>-106954252.62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 x14ac:dyDescent="0.4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2490430</v>
      </c>
      <c r="Q22" s="13">
        <f>'Formato 5'!C28</f>
        <v>0</v>
      </c>
      <c r="R22" s="13">
        <f>'Formato 5'!D28</f>
        <v>2490430</v>
      </c>
      <c r="S22" s="13">
        <f>'Formato 5'!E28</f>
        <v>899418.57</v>
      </c>
      <c r="T22" s="13">
        <f>'Formato 5'!F28</f>
        <v>899418.57</v>
      </c>
      <c r="U22" s="13">
        <f>'Formato 5'!G28</f>
        <v>-1591011.4300000002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2490430</v>
      </c>
      <c r="Q23" s="13">
        <f>'Formato 5'!C29</f>
        <v>0</v>
      </c>
      <c r="R23" s="13">
        <f>'Formato 5'!D29</f>
        <v>2490430</v>
      </c>
      <c r="S23" s="13">
        <f>'Formato 5'!E29</f>
        <v>899418.57</v>
      </c>
      <c r="T23" s="13">
        <f>'Formato 5'!F29</f>
        <v>899418.57</v>
      </c>
      <c r="U23" s="13">
        <f>'Formato 5'!G29</f>
        <v>-1591011.4300000002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ht="14.25" x14ac:dyDescent="0.4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ht="14.25" x14ac:dyDescent="0.4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160157</v>
      </c>
      <c r="Q29" s="13">
        <f>'Formato 5'!C35</f>
        <v>10000</v>
      </c>
      <c r="R29" s="13">
        <f>'Formato 5'!D35</f>
        <v>170157</v>
      </c>
      <c r="S29" s="13">
        <f>'Formato 5'!E35</f>
        <v>83332</v>
      </c>
      <c r="T29" s="13">
        <f>'Formato 5'!F35</f>
        <v>83332</v>
      </c>
      <c r="U29" s="13">
        <f>'Formato 5'!G35</f>
        <v>-76825</v>
      </c>
    </row>
    <row r="30" spans="1:21" ht="14.25" x14ac:dyDescent="0.4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160157</v>
      </c>
      <c r="Q30" s="13">
        <f>'Formato 5'!C36</f>
        <v>10000</v>
      </c>
      <c r="R30" s="13">
        <f>'Formato 5'!D36</f>
        <v>170157</v>
      </c>
      <c r="S30" s="13">
        <f>'Formato 5'!E36</f>
        <v>83332</v>
      </c>
      <c r="T30" s="13">
        <f>'Formato 5'!F36</f>
        <v>83332</v>
      </c>
      <c r="U30" s="13">
        <f>'Formato 5'!G36</f>
        <v>-76825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ht="14.25" x14ac:dyDescent="0.4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711363713</v>
      </c>
      <c r="Q34">
        <f>'Formato 5'!C41</f>
        <v>27558941.829999998</v>
      </c>
      <c r="R34">
        <f>'Formato 5'!D41</f>
        <v>738922654.83000004</v>
      </c>
      <c r="S34">
        <f>'Formato 5'!E41</f>
        <v>398887540.51999998</v>
      </c>
      <c r="T34">
        <f>'Formato 5'!F41</f>
        <v>398887540.51999998</v>
      </c>
      <c r="U34">
        <f>'Formato 5'!G41</f>
        <v>-312476172.48000002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222077649</v>
      </c>
      <c r="Q37">
        <f>'Formato 5'!C45</f>
        <v>12423264</v>
      </c>
      <c r="R37">
        <f>'Formato 5'!D45</f>
        <v>234500913</v>
      </c>
      <c r="S37">
        <f>'Formato 5'!E45</f>
        <v>130138931.64</v>
      </c>
      <c r="T37">
        <f>'Formato 5'!F45</f>
        <v>130138931.64</v>
      </c>
      <c r="U37">
        <f>'Formato 5'!G45</f>
        <v>-91938717.359999999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115081758</v>
      </c>
      <c r="Q40">
        <f>'Formato 5'!C48</f>
        <v>3115967</v>
      </c>
      <c r="R40">
        <f>'Formato 5'!D48</f>
        <v>118197725</v>
      </c>
      <c r="S40">
        <f>'Formato 5'!E48</f>
        <v>71767179.560000002</v>
      </c>
      <c r="T40">
        <f>'Formato 5'!F48</f>
        <v>71767179.560000002</v>
      </c>
      <c r="U40">
        <f>'Formato 5'!G48</f>
        <v>-43314578.439999998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106995891</v>
      </c>
      <c r="Q41">
        <f>'Formato 5'!C49</f>
        <v>9307297</v>
      </c>
      <c r="R41">
        <f>'Formato 5'!D49</f>
        <v>116303188</v>
      </c>
      <c r="S41">
        <f>'Formato 5'!E49</f>
        <v>58371752.079999998</v>
      </c>
      <c r="T41">
        <f>'Formato 5'!F49</f>
        <v>58371752.079999998</v>
      </c>
      <c r="U41">
        <f>'Formato 5'!G49</f>
        <v>-48624138.920000002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37146548.479999997</v>
      </c>
      <c r="R46">
        <f>'Formato 5'!D54</f>
        <v>37146548.479999997</v>
      </c>
      <c r="S46">
        <f>'Formato 5'!E54</f>
        <v>14349248.279999999</v>
      </c>
      <c r="T46">
        <f>'Formato 5'!F54</f>
        <v>14349248.279999999</v>
      </c>
      <c r="U46">
        <f>'Formato 5'!G54</f>
        <v>14349248.279999999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37146548.479999997</v>
      </c>
      <c r="R50">
        <f>'Formato 5'!D58</f>
        <v>37146548.479999997</v>
      </c>
      <c r="S50">
        <f>'Formato 5'!E58</f>
        <v>14349248.279999999</v>
      </c>
      <c r="T50">
        <f>'Formato 5'!F58</f>
        <v>14349248.279999999</v>
      </c>
      <c r="U50">
        <f>'Formato 5'!G58</f>
        <v>14349248.279999999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222077649</v>
      </c>
      <c r="Q56">
        <f>'Formato 5'!C65</f>
        <v>49569812.479999997</v>
      </c>
      <c r="R56">
        <f>'Formato 5'!D65</f>
        <v>271647461.48000002</v>
      </c>
      <c r="S56">
        <f>'Formato 5'!E65</f>
        <v>144488179.91999999</v>
      </c>
      <c r="T56">
        <f>'Formato 5'!F65</f>
        <v>144488179.91999999</v>
      </c>
      <c r="U56">
        <f>'Formato 5'!G65</f>
        <v>-77589469.079999998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104911407.3</v>
      </c>
      <c r="Q57">
        <f>'Formato 5'!C67</f>
        <v>0</v>
      </c>
      <c r="R57">
        <f>'Formato 5'!D67</f>
        <v>104911407.3</v>
      </c>
      <c r="S57">
        <f>'Formato 5'!E67</f>
        <v>0</v>
      </c>
      <c r="T57">
        <f>'Formato 5'!F67</f>
        <v>0</v>
      </c>
      <c r="U57">
        <f>'Formato 5'!G67</f>
        <v>-104911407.3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104911407.3</v>
      </c>
      <c r="Q58">
        <f>'Formato 5'!C68</f>
        <v>0</v>
      </c>
      <c r="R58">
        <f>'Formato 5'!D68</f>
        <v>104911407.3</v>
      </c>
      <c r="S58">
        <f>'Formato 5'!E68</f>
        <v>0</v>
      </c>
      <c r="T58">
        <f>'Formato 5'!F68</f>
        <v>0</v>
      </c>
      <c r="U58">
        <f>'Formato 5'!G68</f>
        <v>-104911407.3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104911407.3</v>
      </c>
      <c r="Q60">
        <f>'Formato 5'!C73</f>
        <v>0</v>
      </c>
      <c r="R60">
        <f>'Formato 5'!D73</f>
        <v>104911407.3</v>
      </c>
      <c r="S60">
        <f>'Formato 5'!E73</f>
        <v>0</v>
      </c>
      <c r="T60">
        <f>'Formato 5'!F73</f>
        <v>0</v>
      </c>
      <c r="U60">
        <f>'Formato 5'!G73</f>
        <v>-104911407.3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104911407.3</v>
      </c>
      <c r="Q62">
        <f>'Formato 5'!C75</f>
        <v>0</v>
      </c>
      <c r="R62">
        <f>'Formato 5'!D75</f>
        <v>104911407.3</v>
      </c>
      <c r="S62">
        <f>'Formato 5'!E75</f>
        <v>0</v>
      </c>
      <c r="T62">
        <f>'Formato 5'!F75</f>
        <v>0</v>
      </c>
      <c r="U62">
        <f>'Formato 5'!G75</f>
        <v>-104911407.3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37" zoomScaleNormal="100" zoomScalePageLayoutView="90" workbookViewId="0">
      <selection activeCell="D159" sqref="D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2" t="s">
        <v>3285</v>
      </c>
      <c r="B1" s="141"/>
      <c r="C1" s="141"/>
      <c r="D1" s="141"/>
      <c r="E1" s="141"/>
      <c r="F1" s="141"/>
      <c r="G1" s="141"/>
    </row>
    <row r="2" spans="1:7" ht="14.25" x14ac:dyDescent="0.45">
      <c r="A2" s="138" t="str">
        <f>ENTE_PUBLICO_A</f>
        <v>Presidencia Municipal de San Miguel de Allende, Gobierno del Estado de Guanajuato (a)</v>
      </c>
      <c r="B2" s="138"/>
      <c r="C2" s="138"/>
      <c r="D2" s="138"/>
      <c r="E2" s="138"/>
      <c r="F2" s="138"/>
      <c r="G2" s="138"/>
    </row>
    <row r="3" spans="1:7" x14ac:dyDescent="0.25">
      <c r="A3" s="145" t="s">
        <v>277</v>
      </c>
      <c r="B3" s="145"/>
      <c r="C3" s="145"/>
      <c r="D3" s="145"/>
      <c r="E3" s="145"/>
      <c r="F3" s="145"/>
      <c r="G3" s="145"/>
    </row>
    <row r="4" spans="1:7" x14ac:dyDescent="0.25">
      <c r="A4" s="145" t="s">
        <v>278</v>
      </c>
      <c r="B4" s="145"/>
      <c r="C4" s="145"/>
      <c r="D4" s="145"/>
      <c r="E4" s="145"/>
      <c r="F4" s="145"/>
      <c r="G4" s="145"/>
    </row>
    <row r="5" spans="1:7" ht="14.25" x14ac:dyDescent="0.45">
      <c r="A5" s="145" t="str">
        <f>TRIMESTRE</f>
        <v>Del 1 de enero al 30 de junio de 2019 (b)</v>
      </c>
      <c r="B5" s="145"/>
      <c r="C5" s="145"/>
      <c r="D5" s="145"/>
      <c r="E5" s="145"/>
      <c r="F5" s="145"/>
      <c r="G5" s="145"/>
    </row>
    <row r="6" spans="1:7" ht="14.25" x14ac:dyDescent="0.45">
      <c r="A6" s="139" t="s">
        <v>118</v>
      </c>
      <c r="B6" s="139"/>
      <c r="C6" s="139"/>
      <c r="D6" s="139"/>
      <c r="E6" s="139"/>
      <c r="F6" s="139"/>
      <c r="G6" s="139"/>
    </row>
    <row r="7" spans="1:7" ht="15" customHeight="1" x14ac:dyDescent="0.25">
      <c r="A7" s="143" t="s">
        <v>0</v>
      </c>
      <c r="B7" s="143" t="s">
        <v>279</v>
      </c>
      <c r="C7" s="143"/>
      <c r="D7" s="143"/>
      <c r="E7" s="143"/>
      <c r="F7" s="143"/>
      <c r="G7" s="144" t="s">
        <v>280</v>
      </c>
    </row>
    <row r="8" spans="1:7" ht="30" x14ac:dyDescent="0.25">
      <c r="A8" s="14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3"/>
    </row>
    <row r="9" spans="1:7" ht="14.25" x14ac:dyDescent="0.45">
      <c r="A9" s="68" t="s">
        <v>285</v>
      </c>
      <c r="B9" s="65">
        <f>SUM(B10,B18,B28,B38,B48,B58,B62,B71,B75)</f>
        <v>820050120.29999995</v>
      </c>
      <c r="C9" s="65">
        <f t="shared" ref="C9:G9" si="0">SUM(C10,C18,C28,C38,C48,C58,C62,C71,C75)</f>
        <v>210127282.61000001</v>
      </c>
      <c r="D9" s="65">
        <f t="shared" si="0"/>
        <v>1030177402.91</v>
      </c>
      <c r="E9" s="65">
        <f t="shared" si="0"/>
        <v>338765406.32000005</v>
      </c>
      <c r="F9" s="65">
        <f t="shared" si="0"/>
        <v>336896064.75000006</v>
      </c>
      <c r="G9" s="65">
        <f t="shared" si="0"/>
        <v>691411996.58999991</v>
      </c>
    </row>
    <row r="10" spans="1:7" ht="14.25" x14ac:dyDescent="0.45">
      <c r="A10" s="69" t="s">
        <v>286</v>
      </c>
      <c r="B10" s="66">
        <f>SUM(B11:B17)</f>
        <v>163067959.82999998</v>
      </c>
      <c r="C10" s="66">
        <f t="shared" ref="C10:F10" si="1">SUM(C11:C17)</f>
        <v>3261164.2199999997</v>
      </c>
      <c r="D10" s="66">
        <f t="shared" si="1"/>
        <v>166329124.05000001</v>
      </c>
      <c r="E10" s="66">
        <f t="shared" si="1"/>
        <v>77348544.700000018</v>
      </c>
      <c r="F10" s="66">
        <f t="shared" si="1"/>
        <v>77348544.700000018</v>
      </c>
      <c r="G10" s="66">
        <f>SUM(G11:G17)</f>
        <v>88980579.349999979</v>
      </c>
    </row>
    <row r="11" spans="1:7" x14ac:dyDescent="0.25">
      <c r="A11" s="70" t="s">
        <v>287</v>
      </c>
      <c r="B11" s="165">
        <v>137252719.96000001</v>
      </c>
      <c r="C11" s="165">
        <v>0</v>
      </c>
      <c r="D11" s="166">
        <f>B11+C11</f>
        <v>137252719.96000001</v>
      </c>
      <c r="E11" s="165">
        <v>62615507.460000001</v>
      </c>
      <c r="F11" s="165">
        <v>62615507.460000001</v>
      </c>
      <c r="G11" s="166">
        <f>D11-E11</f>
        <v>74637212.5</v>
      </c>
    </row>
    <row r="12" spans="1:7" x14ac:dyDescent="0.25">
      <c r="A12" s="70" t="s">
        <v>288</v>
      </c>
      <c r="B12" s="166"/>
      <c r="C12" s="166"/>
      <c r="D12" s="166">
        <f t="shared" ref="D12:D17" si="2">B12+C12</f>
        <v>0</v>
      </c>
      <c r="E12" s="166"/>
      <c r="F12" s="166"/>
      <c r="G12" s="166">
        <f t="shared" ref="G12:G17" si="3">D12-E12</f>
        <v>0</v>
      </c>
    </row>
    <row r="13" spans="1:7" x14ac:dyDescent="0.25">
      <c r="A13" s="70" t="s">
        <v>289</v>
      </c>
      <c r="B13" s="165">
        <v>17921348.859999999</v>
      </c>
      <c r="C13" s="165">
        <v>906779.9</v>
      </c>
      <c r="D13" s="166">
        <f t="shared" si="2"/>
        <v>18828128.759999998</v>
      </c>
      <c r="E13" s="165">
        <v>7714063.4699999997</v>
      </c>
      <c r="F13" s="165">
        <v>7714063.4699999997</v>
      </c>
      <c r="G13" s="166">
        <f t="shared" si="3"/>
        <v>11114065.289999999</v>
      </c>
    </row>
    <row r="14" spans="1:7" x14ac:dyDescent="0.25">
      <c r="A14" s="70" t="s">
        <v>290</v>
      </c>
      <c r="B14" s="165">
        <v>1200000</v>
      </c>
      <c r="C14" s="165">
        <v>0</v>
      </c>
      <c r="D14" s="166">
        <f t="shared" si="2"/>
        <v>1200000</v>
      </c>
      <c r="E14" s="165">
        <v>598645.4</v>
      </c>
      <c r="F14" s="165">
        <v>598645.4</v>
      </c>
      <c r="G14" s="166">
        <f t="shared" si="3"/>
        <v>601354.6</v>
      </c>
    </row>
    <row r="15" spans="1:7" x14ac:dyDescent="0.25">
      <c r="A15" s="70" t="s">
        <v>291</v>
      </c>
      <c r="B15" s="165">
        <v>6693891.0099999998</v>
      </c>
      <c r="C15" s="165">
        <v>2354384.3199999998</v>
      </c>
      <c r="D15" s="166">
        <f t="shared" si="2"/>
        <v>9048275.3300000001</v>
      </c>
      <c r="E15" s="165">
        <v>6420328.3700000001</v>
      </c>
      <c r="F15" s="165">
        <v>6420328.3700000001</v>
      </c>
      <c r="G15" s="166">
        <f t="shared" si="3"/>
        <v>2627946.96</v>
      </c>
    </row>
    <row r="16" spans="1:7" x14ac:dyDescent="0.25">
      <c r="A16" s="70" t="s">
        <v>292</v>
      </c>
      <c r="B16" s="166"/>
      <c r="C16" s="166"/>
      <c r="D16" s="166">
        <f t="shared" si="2"/>
        <v>0</v>
      </c>
      <c r="E16" s="166"/>
      <c r="F16" s="166"/>
      <c r="G16" s="166">
        <f t="shared" si="3"/>
        <v>0</v>
      </c>
    </row>
    <row r="17" spans="1:7" x14ac:dyDescent="0.25">
      <c r="A17" s="70" t="s">
        <v>293</v>
      </c>
      <c r="B17" s="166"/>
      <c r="C17" s="166"/>
      <c r="D17" s="166">
        <f t="shared" si="2"/>
        <v>0</v>
      </c>
      <c r="E17" s="166"/>
      <c r="F17" s="166"/>
      <c r="G17" s="166">
        <f t="shared" si="3"/>
        <v>0</v>
      </c>
    </row>
    <row r="18" spans="1:7" ht="14.25" x14ac:dyDescent="0.45">
      <c r="A18" s="69" t="s">
        <v>294</v>
      </c>
      <c r="B18" s="66">
        <f>SUM(B19:B27)</f>
        <v>61621529.619999997</v>
      </c>
      <c r="C18" s="66">
        <f t="shared" ref="C18:F18" si="4">SUM(C19:C27)</f>
        <v>13352027.939999999</v>
      </c>
      <c r="D18" s="66">
        <f t="shared" si="4"/>
        <v>74973557.560000017</v>
      </c>
      <c r="E18" s="66">
        <f t="shared" si="4"/>
        <v>32664170.059999999</v>
      </c>
      <c r="F18" s="66">
        <f t="shared" si="4"/>
        <v>31882894.639999997</v>
      </c>
      <c r="G18" s="66">
        <f>SUM(G19:G27)</f>
        <v>42309387.500000007</v>
      </c>
    </row>
    <row r="19" spans="1:7" x14ac:dyDescent="0.25">
      <c r="A19" s="70" t="s">
        <v>295</v>
      </c>
      <c r="B19" s="165">
        <v>5206232.3600000003</v>
      </c>
      <c r="C19" s="165">
        <v>1602301.08</v>
      </c>
      <c r="D19" s="166">
        <f t="shared" ref="D19:D27" si="5">B19+C19</f>
        <v>6808533.4400000004</v>
      </c>
      <c r="E19" s="165">
        <v>2807306.31</v>
      </c>
      <c r="F19" s="165">
        <v>2727917.94</v>
      </c>
      <c r="G19" s="166">
        <f t="shared" ref="G19:G27" si="6">D19-E19</f>
        <v>4001227.1300000004</v>
      </c>
    </row>
    <row r="20" spans="1:7" x14ac:dyDescent="0.25">
      <c r="A20" s="70" t="s">
        <v>296</v>
      </c>
      <c r="B20" s="165">
        <v>2634362.86</v>
      </c>
      <c r="C20" s="165">
        <v>679415</v>
      </c>
      <c r="D20" s="166">
        <f t="shared" si="5"/>
        <v>3313777.86</v>
      </c>
      <c r="E20" s="165">
        <v>1600755.08</v>
      </c>
      <c r="F20" s="165">
        <v>1510069.58</v>
      </c>
      <c r="G20" s="166">
        <f t="shared" si="6"/>
        <v>1713022.7799999998</v>
      </c>
    </row>
    <row r="21" spans="1:7" x14ac:dyDescent="0.25">
      <c r="A21" s="70" t="s">
        <v>297</v>
      </c>
      <c r="B21" s="165">
        <v>85000</v>
      </c>
      <c r="C21" s="165">
        <v>-77000</v>
      </c>
      <c r="D21" s="166">
        <f t="shared" si="5"/>
        <v>8000</v>
      </c>
      <c r="E21" s="165">
        <v>603.89</v>
      </c>
      <c r="F21" s="165">
        <v>603.89</v>
      </c>
      <c r="G21" s="166">
        <f t="shared" si="6"/>
        <v>7396.11</v>
      </c>
    </row>
    <row r="22" spans="1:7" x14ac:dyDescent="0.25">
      <c r="A22" s="70" t="s">
        <v>298</v>
      </c>
      <c r="B22" s="165">
        <v>19423763.960000001</v>
      </c>
      <c r="C22" s="165">
        <v>7570773.2800000003</v>
      </c>
      <c r="D22" s="166">
        <f t="shared" si="5"/>
        <v>26994537.240000002</v>
      </c>
      <c r="E22" s="165">
        <v>11789424.369999999</v>
      </c>
      <c r="F22" s="165">
        <v>11620845.220000001</v>
      </c>
      <c r="G22" s="166">
        <f t="shared" si="6"/>
        <v>15205112.870000003</v>
      </c>
    </row>
    <row r="23" spans="1:7" x14ac:dyDescent="0.25">
      <c r="A23" s="70" t="s">
        <v>299</v>
      </c>
      <c r="B23" s="165">
        <v>9247200</v>
      </c>
      <c r="C23" s="165">
        <v>-339014</v>
      </c>
      <c r="D23" s="166">
        <f t="shared" si="5"/>
        <v>8908186</v>
      </c>
      <c r="E23" s="165">
        <v>4490441.1399999997</v>
      </c>
      <c r="F23" s="165">
        <v>4470576.1399999997</v>
      </c>
      <c r="G23" s="166">
        <f t="shared" si="6"/>
        <v>4417744.8600000003</v>
      </c>
    </row>
    <row r="24" spans="1:7" x14ac:dyDescent="0.25">
      <c r="A24" s="70" t="s">
        <v>300</v>
      </c>
      <c r="B24" s="165">
        <v>20369536.670000002</v>
      </c>
      <c r="C24" s="165">
        <v>330000</v>
      </c>
      <c r="D24" s="166">
        <f t="shared" si="5"/>
        <v>20699536.670000002</v>
      </c>
      <c r="E24" s="165">
        <v>8169421.8499999996</v>
      </c>
      <c r="F24" s="165">
        <v>7887994.8600000003</v>
      </c>
      <c r="G24" s="166">
        <f t="shared" si="6"/>
        <v>12530114.820000002</v>
      </c>
    </row>
    <row r="25" spans="1:7" x14ac:dyDescent="0.25">
      <c r="A25" s="70" t="s">
        <v>301</v>
      </c>
      <c r="B25" s="165">
        <v>2381288.48</v>
      </c>
      <c r="C25" s="165">
        <v>3488042.31</v>
      </c>
      <c r="D25" s="166">
        <f t="shared" si="5"/>
        <v>5869330.79</v>
      </c>
      <c r="E25" s="165">
        <v>3095890.68</v>
      </c>
      <c r="F25" s="165">
        <v>3058886.68</v>
      </c>
      <c r="G25" s="166">
        <f t="shared" si="6"/>
        <v>2773440.11</v>
      </c>
    </row>
    <row r="26" spans="1:7" x14ac:dyDescent="0.25">
      <c r="A26" s="70" t="s">
        <v>302</v>
      </c>
      <c r="B26" s="165">
        <v>526000</v>
      </c>
      <c r="C26" s="165">
        <v>-513000</v>
      </c>
      <c r="D26" s="166">
        <f t="shared" si="5"/>
        <v>13000</v>
      </c>
      <c r="E26" s="165">
        <v>0</v>
      </c>
      <c r="F26" s="165">
        <v>0</v>
      </c>
      <c r="G26" s="166">
        <f t="shared" si="6"/>
        <v>13000</v>
      </c>
    </row>
    <row r="27" spans="1:7" x14ac:dyDescent="0.25">
      <c r="A27" s="70" t="s">
        <v>303</v>
      </c>
      <c r="B27" s="165">
        <v>1748145.29</v>
      </c>
      <c r="C27" s="165">
        <v>610510.27</v>
      </c>
      <c r="D27" s="166">
        <f t="shared" si="5"/>
        <v>2358655.56</v>
      </c>
      <c r="E27" s="165">
        <v>710326.74</v>
      </c>
      <c r="F27" s="165">
        <v>606000.32999999996</v>
      </c>
      <c r="G27" s="166">
        <f t="shared" si="6"/>
        <v>1648328.82</v>
      </c>
    </row>
    <row r="28" spans="1:7" x14ac:dyDescent="0.25">
      <c r="A28" s="69" t="s">
        <v>304</v>
      </c>
      <c r="B28" s="66">
        <f>SUM(B29:B37)</f>
        <v>348582043.51000005</v>
      </c>
      <c r="C28" s="66">
        <f t="shared" ref="C28:G28" si="7">SUM(C29:C37)</f>
        <v>72280886.180000007</v>
      </c>
      <c r="D28" s="66">
        <f t="shared" si="7"/>
        <v>420862929.69</v>
      </c>
      <c r="E28" s="66">
        <f t="shared" si="7"/>
        <v>162831649.56</v>
      </c>
      <c r="F28" s="66">
        <f t="shared" si="7"/>
        <v>162372324.43000001</v>
      </c>
      <c r="G28" s="66">
        <f t="shared" si="7"/>
        <v>258031280.13000005</v>
      </c>
    </row>
    <row r="29" spans="1:7" x14ac:dyDescent="0.25">
      <c r="A29" s="70" t="s">
        <v>305</v>
      </c>
      <c r="B29" s="165">
        <v>131371676.59999999</v>
      </c>
      <c r="C29" s="165">
        <v>237517.38</v>
      </c>
      <c r="D29" s="166">
        <f t="shared" ref="D29:D37" si="8">B29+C29</f>
        <v>131609193.97999999</v>
      </c>
      <c r="E29" s="165">
        <v>56498014.560000002</v>
      </c>
      <c r="F29" s="165">
        <v>56807831.420000002</v>
      </c>
      <c r="G29" s="166">
        <f t="shared" ref="G29:G37" si="9">D29-E29</f>
        <v>75111179.419999987</v>
      </c>
    </row>
    <row r="30" spans="1:7" x14ac:dyDescent="0.25">
      <c r="A30" s="70" t="s">
        <v>306</v>
      </c>
      <c r="B30" s="165">
        <v>14207000</v>
      </c>
      <c r="C30" s="165">
        <v>7650662.8600000003</v>
      </c>
      <c r="D30" s="166">
        <f t="shared" si="8"/>
        <v>21857662.859999999</v>
      </c>
      <c r="E30" s="165">
        <v>6709608.25</v>
      </c>
      <c r="F30" s="165">
        <v>6709608.25</v>
      </c>
      <c r="G30" s="166">
        <f t="shared" si="9"/>
        <v>15148054.609999999</v>
      </c>
    </row>
    <row r="31" spans="1:7" x14ac:dyDescent="0.25">
      <c r="A31" s="70" t="s">
        <v>307</v>
      </c>
      <c r="B31" s="165">
        <v>93742159.400000006</v>
      </c>
      <c r="C31" s="165">
        <v>25395962.710000001</v>
      </c>
      <c r="D31" s="166">
        <f t="shared" si="8"/>
        <v>119138122.11000001</v>
      </c>
      <c r="E31" s="165">
        <v>45932545.090000004</v>
      </c>
      <c r="F31" s="165">
        <v>45813639.82</v>
      </c>
      <c r="G31" s="166">
        <f t="shared" si="9"/>
        <v>73205577.020000011</v>
      </c>
    </row>
    <row r="32" spans="1:7" x14ac:dyDescent="0.25">
      <c r="A32" s="70" t="s">
        <v>308</v>
      </c>
      <c r="B32" s="165">
        <v>13508574.699999999</v>
      </c>
      <c r="C32" s="165">
        <v>-383788</v>
      </c>
      <c r="D32" s="166">
        <f t="shared" si="8"/>
        <v>13124786.699999999</v>
      </c>
      <c r="E32" s="165">
        <v>3393473.86</v>
      </c>
      <c r="F32" s="165">
        <v>3307716.57</v>
      </c>
      <c r="G32" s="166">
        <f t="shared" si="9"/>
        <v>9731312.8399999999</v>
      </c>
    </row>
    <row r="33" spans="1:7" x14ac:dyDescent="0.25">
      <c r="A33" s="70" t="s">
        <v>309</v>
      </c>
      <c r="B33" s="165">
        <v>50543206.439999998</v>
      </c>
      <c r="C33" s="165">
        <v>25175583.399999999</v>
      </c>
      <c r="D33" s="166">
        <f t="shared" si="8"/>
        <v>75718789.840000004</v>
      </c>
      <c r="E33" s="165">
        <v>26607686.25</v>
      </c>
      <c r="F33" s="165">
        <v>26133230.82</v>
      </c>
      <c r="G33" s="166">
        <f t="shared" si="9"/>
        <v>49111103.590000004</v>
      </c>
    </row>
    <row r="34" spans="1:7" x14ac:dyDescent="0.25">
      <c r="A34" s="70" t="s">
        <v>310</v>
      </c>
      <c r="B34" s="165">
        <v>6902530.2300000004</v>
      </c>
      <c r="C34" s="165">
        <v>280839.36</v>
      </c>
      <c r="D34" s="166">
        <f t="shared" si="8"/>
        <v>7183369.5900000008</v>
      </c>
      <c r="E34" s="165">
        <v>3032457.04</v>
      </c>
      <c r="F34" s="165">
        <v>2985662.64</v>
      </c>
      <c r="G34" s="166">
        <f t="shared" si="9"/>
        <v>4150912.5500000007</v>
      </c>
    </row>
    <row r="35" spans="1:7" x14ac:dyDescent="0.25">
      <c r="A35" s="70" t="s">
        <v>311</v>
      </c>
      <c r="B35" s="165">
        <v>2593613.04</v>
      </c>
      <c r="C35" s="165">
        <v>354300</v>
      </c>
      <c r="D35" s="166">
        <f t="shared" si="8"/>
        <v>2947913.04</v>
      </c>
      <c r="E35" s="165">
        <v>497444.96</v>
      </c>
      <c r="F35" s="165">
        <v>497444.96</v>
      </c>
      <c r="G35" s="166">
        <f t="shared" si="9"/>
        <v>2450468.08</v>
      </c>
    </row>
    <row r="36" spans="1:7" x14ac:dyDescent="0.25">
      <c r="A36" s="70" t="s">
        <v>312</v>
      </c>
      <c r="B36" s="165">
        <v>29162254.300000001</v>
      </c>
      <c r="C36" s="165">
        <v>13792808.470000001</v>
      </c>
      <c r="D36" s="166">
        <f t="shared" si="8"/>
        <v>42955062.770000003</v>
      </c>
      <c r="E36" s="165">
        <v>16472729.43</v>
      </c>
      <c r="F36" s="165">
        <v>16429499.83</v>
      </c>
      <c r="G36" s="166">
        <f t="shared" si="9"/>
        <v>26482333.340000004</v>
      </c>
    </row>
    <row r="37" spans="1:7" x14ac:dyDescent="0.25">
      <c r="A37" s="70" t="s">
        <v>313</v>
      </c>
      <c r="B37" s="165">
        <v>6551028.7999999998</v>
      </c>
      <c r="C37" s="165">
        <v>-223000</v>
      </c>
      <c r="D37" s="166">
        <f t="shared" si="8"/>
        <v>6328028.7999999998</v>
      </c>
      <c r="E37" s="165">
        <v>3687690.12</v>
      </c>
      <c r="F37" s="165">
        <v>3687690.12</v>
      </c>
      <c r="G37" s="166">
        <f t="shared" si="9"/>
        <v>2640338.6799999997</v>
      </c>
    </row>
    <row r="38" spans="1:7" x14ac:dyDescent="0.25">
      <c r="A38" s="69" t="s">
        <v>314</v>
      </c>
      <c r="B38" s="66">
        <f>SUM(B39:B47)</f>
        <v>110020932.03</v>
      </c>
      <c r="C38" s="66">
        <f t="shared" ref="C38:G38" si="10">SUM(C39:C47)</f>
        <v>17820289.629999999</v>
      </c>
      <c r="D38" s="66">
        <f t="shared" si="10"/>
        <v>127841221.66</v>
      </c>
      <c r="E38" s="66">
        <f t="shared" si="10"/>
        <v>57861974.82</v>
      </c>
      <c r="F38" s="66">
        <f t="shared" si="10"/>
        <v>57233233.799999997</v>
      </c>
      <c r="G38" s="66">
        <f t="shared" si="10"/>
        <v>69979246.839999989</v>
      </c>
    </row>
    <row r="39" spans="1:7" x14ac:dyDescent="0.25">
      <c r="A39" s="70" t="s">
        <v>315</v>
      </c>
      <c r="B39" s="165">
        <v>53779980.859999999</v>
      </c>
      <c r="C39" s="165">
        <v>0</v>
      </c>
      <c r="D39" s="166">
        <f t="shared" ref="D39:D47" si="11">B39+C39</f>
        <v>53779980.859999999</v>
      </c>
      <c r="E39" s="165">
        <v>29555902.460000001</v>
      </c>
      <c r="F39" s="165">
        <v>29555902.460000001</v>
      </c>
      <c r="G39" s="166">
        <f t="shared" ref="G39:G47" si="12">D39-E39</f>
        <v>24224078.399999999</v>
      </c>
    </row>
    <row r="40" spans="1:7" x14ac:dyDescent="0.25">
      <c r="A40" s="70" t="s">
        <v>316</v>
      </c>
      <c r="B40" s="166"/>
      <c r="C40" s="166"/>
      <c r="D40" s="166">
        <f t="shared" si="11"/>
        <v>0</v>
      </c>
      <c r="E40" s="166"/>
      <c r="F40" s="166"/>
      <c r="G40" s="166">
        <f t="shared" si="12"/>
        <v>0</v>
      </c>
    </row>
    <row r="41" spans="1:7" x14ac:dyDescent="0.25">
      <c r="A41" s="70" t="s">
        <v>317</v>
      </c>
      <c r="B41" s="165">
        <v>432640</v>
      </c>
      <c r="C41" s="165">
        <v>0</v>
      </c>
      <c r="D41" s="166">
        <f t="shared" si="11"/>
        <v>432640</v>
      </c>
      <c r="E41" s="165">
        <v>0</v>
      </c>
      <c r="F41" s="165">
        <v>0</v>
      </c>
      <c r="G41" s="166">
        <f t="shared" si="12"/>
        <v>432640</v>
      </c>
    </row>
    <row r="42" spans="1:7" x14ac:dyDescent="0.25">
      <c r="A42" s="70" t="s">
        <v>318</v>
      </c>
      <c r="B42" s="165">
        <v>47975785.670000002</v>
      </c>
      <c r="C42" s="165">
        <v>17820289.629999999</v>
      </c>
      <c r="D42" s="166">
        <f t="shared" si="11"/>
        <v>65796075.299999997</v>
      </c>
      <c r="E42" s="165">
        <v>24113508.890000001</v>
      </c>
      <c r="F42" s="165">
        <v>23484767.870000001</v>
      </c>
      <c r="G42" s="166">
        <f t="shared" si="12"/>
        <v>41682566.409999996</v>
      </c>
    </row>
    <row r="43" spans="1:7" x14ac:dyDescent="0.25">
      <c r="A43" s="70" t="s">
        <v>319</v>
      </c>
      <c r="B43" s="165">
        <v>7832525.5</v>
      </c>
      <c r="C43" s="165">
        <v>0</v>
      </c>
      <c r="D43" s="166">
        <f t="shared" si="11"/>
        <v>7832525.5</v>
      </c>
      <c r="E43" s="165">
        <v>4192563.47</v>
      </c>
      <c r="F43" s="165">
        <v>4192563.47</v>
      </c>
      <c r="G43" s="166">
        <f t="shared" si="12"/>
        <v>3639962.03</v>
      </c>
    </row>
    <row r="44" spans="1:7" x14ac:dyDescent="0.25">
      <c r="A44" s="70" t="s">
        <v>320</v>
      </c>
      <c r="B44" s="166"/>
      <c r="C44" s="166"/>
      <c r="D44" s="166">
        <f t="shared" si="11"/>
        <v>0</v>
      </c>
      <c r="E44" s="166"/>
      <c r="F44" s="166"/>
      <c r="G44" s="166">
        <f t="shared" si="12"/>
        <v>0</v>
      </c>
    </row>
    <row r="45" spans="1:7" x14ac:dyDescent="0.25">
      <c r="A45" s="70" t="s">
        <v>321</v>
      </c>
      <c r="B45" s="166"/>
      <c r="C45" s="166"/>
      <c r="D45" s="166">
        <f t="shared" si="11"/>
        <v>0</v>
      </c>
      <c r="E45" s="166"/>
      <c r="F45" s="166"/>
      <c r="G45" s="166">
        <f t="shared" si="12"/>
        <v>0</v>
      </c>
    </row>
    <row r="46" spans="1:7" x14ac:dyDescent="0.25">
      <c r="A46" s="70" t="s">
        <v>322</v>
      </c>
      <c r="B46" s="166"/>
      <c r="C46" s="166"/>
      <c r="D46" s="166">
        <f t="shared" si="11"/>
        <v>0</v>
      </c>
      <c r="E46" s="166"/>
      <c r="F46" s="166"/>
      <c r="G46" s="166">
        <f t="shared" si="12"/>
        <v>0</v>
      </c>
    </row>
    <row r="47" spans="1:7" x14ac:dyDescent="0.25">
      <c r="A47" s="70" t="s">
        <v>323</v>
      </c>
      <c r="B47" s="166"/>
      <c r="C47" s="166"/>
      <c r="D47" s="166">
        <f t="shared" si="11"/>
        <v>0</v>
      </c>
      <c r="E47" s="166"/>
      <c r="F47" s="166"/>
      <c r="G47" s="166">
        <f t="shared" si="12"/>
        <v>0</v>
      </c>
    </row>
    <row r="48" spans="1:7" x14ac:dyDescent="0.25">
      <c r="A48" s="69" t="s">
        <v>324</v>
      </c>
      <c r="B48" s="66">
        <f>SUM(B49:B57)</f>
        <v>12578835.279999997</v>
      </c>
      <c r="C48" s="66">
        <f t="shared" ref="C48:G48" si="13">SUM(C49:C57)</f>
        <v>15929194.91</v>
      </c>
      <c r="D48" s="66">
        <f t="shared" si="13"/>
        <v>28508030.190000001</v>
      </c>
      <c r="E48" s="66">
        <f t="shared" si="13"/>
        <v>2780988.11</v>
      </c>
      <c r="F48" s="66">
        <f t="shared" si="13"/>
        <v>2780988.11</v>
      </c>
      <c r="G48" s="66">
        <f t="shared" si="13"/>
        <v>25727042.080000002</v>
      </c>
    </row>
    <row r="49" spans="1:7" x14ac:dyDescent="0.25">
      <c r="A49" s="70" t="s">
        <v>325</v>
      </c>
      <c r="B49" s="165">
        <v>5286412.38</v>
      </c>
      <c r="C49" s="165">
        <v>1822596.72</v>
      </c>
      <c r="D49" s="166">
        <f t="shared" ref="D49:D57" si="14">B49+C49</f>
        <v>7109009.0999999996</v>
      </c>
      <c r="E49" s="165">
        <v>2556377.7000000002</v>
      </c>
      <c r="F49" s="165">
        <v>2556377.7000000002</v>
      </c>
      <c r="G49" s="166">
        <f t="shared" ref="G49:G57" si="15">D49-E49</f>
        <v>4552631.3999999994</v>
      </c>
    </row>
    <row r="50" spans="1:7" x14ac:dyDescent="0.25">
      <c r="A50" s="70" t="s">
        <v>326</v>
      </c>
      <c r="B50" s="165">
        <v>1287000</v>
      </c>
      <c r="C50" s="165">
        <v>-185516.28</v>
      </c>
      <c r="D50" s="166">
        <f t="shared" si="14"/>
        <v>1101483.72</v>
      </c>
      <c r="E50" s="165">
        <v>45400.01</v>
      </c>
      <c r="F50" s="165">
        <v>45400.01</v>
      </c>
      <c r="G50" s="166">
        <f t="shared" si="15"/>
        <v>1056083.71</v>
      </c>
    </row>
    <row r="51" spans="1:7" x14ac:dyDescent="0.25">
      <c r="A51" s="70" t="s">
        <v>327</v>
      </c>
      <c r="B51" s="165">
        <v>65000</v>
      </c>
      <c r="C51" s="165">
        <v>0</v>
      </c>
      <c r="D51" s="166">
        <f t="shared" si="14"/>
        <v>65000</v>
      </c>
      <c r="E51" s="165">
        <v>0</v>
      </c>
      <c r="F51" s="165">
        <v>0</v>
      </c>
      <c r="G51" s="166">
        <f t="shared" si="15"/>
        <v>65000</v>
      </c>
    </row>
    <row r="52" spans="1:7" x14ac:dyDescent="0.25">
      <c r="A52" s="70" t="s">
        <v>328</v>
      </c>
      <c r="B52" s="165">
        <v>2630000</v>
      </c>
      <c r="C52" s="165">
        <v>-734000</v>
      </c>
      <c r="D52" s="166">
        <f t="shared" si="14"/>
        <v>1896000</v>
      </c>
      <c r="E52" s="165">
        <v>0</v>
      </c>
      <c r="F52" s="165">
        <v>0</v>
      </c>
      <c r="G52" s="166">
        <f t="shared" si="15"/>
        <v>1896000</v>
      </c>
    </row>
    <row r="53" spans="1:7" x14ac:dyDescent="0.25">
      <c r="A53" s="70" t="s">
        <v>329</v>
      </c>
      <c r="B53" s="166"/>
      <c r="C53" s="166"/>
      <c r="D53" s="166">
        <f t="shared" si="14"/>
        <v>0</v>
      </c>
      <c r="E53" s="166"/>
      <c r="F53" s="166"/>
      <c r="G53" s="166">
        <f t="shared" si="15"/>
        <v>0</v>
      </c>
    </row>
    <row r="54" spans="1:7" x14ac:dyDescent="0.25">
      <c r="A54" s="70" t="s">
        <v>330</v>
      </c>
      <c r="B54" s="165">
        <v>2009569.54</v>
      </c>
      <c r="C54" s="165">
        <v>15432114.470000001</v>
      </c>
      <c r="D54" s="166">
        <f t="shared" si="14"/>
        <v>17441684.010000002</v>
      </c>
      <c r="E54" s="165">
        <v>146210.4</v>
      </c>
      <c r="F54" s="165">
        <v>146210.4</v>
      </c>
      <c r="G54" s="166">
        <f t="shared" si="15"/>
        <v>17295473.610000003</v>
      </c>
    </row>
    <row r="55" spans="1:7" x14ac:dyDescent="0.25">
      <c r="A55" s="70" t="s">
        <v>331</v>
      </c>
      <c r="B55" s="165">
        <v>1205000</v>
      </c>
      <c r="C55" s="165">
        <v>-416000</v>
      </c>
      <c r="D55" s="166">
        <f t="shared" si="14"/>
        <v>789000</v>
      </c>
      <c r="E55" s="165">
        <v>0</v>
      </c>
      <c r="F55" s="165">
        <v>0</v>
      </c>
      <c r="G55" s="166">
        <f t="shared" si="15"/>
        <v>789000</v>
      </c>
    </row>
    <row r="56" spans="1:7" x14ac:dyDescent="0.25">
      <c r="A56" s="70" t="s">
        <v>332</v>
      </c>
      <c r="B56" s="166"/>
      <c r="C56" s="166"/>
      <c r="D56" s="166">
        <f t="shared" si="14"/>
        <v>0</v>
      </c>
      <c r="E56" s="166"/>
      <c r="F56" s="166"/>
      <c r="G56" s="166">
        <f t="shared" si="15"/>
        <v>0</v>
      </c>
    </row>
    <row r="57" spans="1:7" x14ac:dyDescent="0.25">
      <c r="A57" s="70" t="s">
        <v>333</v>
      </c>
      <c r="B57" s="165">
        <v>95853.36</v>
      </c>
      <c r="C57" s="165">
        <v>10000</v>
      </c>
      <c r="D57" s="166">
        <f t="shared" si="14"/>
        <v>105853.36</v>
      </c>
      <c r="E57" s="165">
        <v>33000</v>
      </c>
      <c r="F57" s="165">
        <v>33000</v>
      </c>
      <c r="G57" s="166">
        <f t="shared" si="15"/>
        <v>72853.36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16">SUM(C59:C61)</f>
        <v>82988793.109999999</v>
      </c>
      <c r="D58" s="66">
        <f t="shared" si="16"/>
        <v>82988793.109999999</v>
      </c>
      <c r="E58" s="66">
        <f t="shared" si="16"/>
        <v>3792036.32</v>
      </c>
      <c r="F58" s="66">
        <f t="shared" si="16"/>
        <v>3792036.32</v>
      </c>
      <c r="G58" s="66">
        <f t="shared" si="16"/>
        <v>79196756.789999992</v>
      </c>
    </row>
    <row r="59" spans="1:7" x14ac:dyDescent="0.25">
      <c r="A59" s="70" t="s">
        <v>335</v>
      </c>
      <c r="B59" s="165">
        <v>0</v>
      </c>
      <c r="C59" s="165">
        <v>71801230</v>
      </c>
      <c r="D59" s="166">
        <f t="shared" ref="D59:D61" si="17">B59+C59</f>
        <v>71801230</v>
      </c>
      <c r="E59" s="165">
        <v>4776.79</v>
      </c>
      <c r="F59" s="165">
        <v>4776.79</v>
      </c>
      <c r="G59" s="166">
        <f t="shared" ref="G59:G61" si="18">D59-E59</f>
        <v>71796453.209999993</v>
      </c>
    </row>
    <row r="60" spans="1:7" x14ac:dyDescent="0.25">
      <c r="A60" s="70" t="s">
        <v>336</v>
      </c>
      <c r="B60" s="165">
        <v>0</v>
      </c>
      <c r="C60" s="165">
        <v>11187563.109999999</v>
      </c>
      <c r="D60" s="166">
        <f t="shared" si="17"/>
        <v>11187563.109999999</v>
      </c>
      <c r="E60" s="165">
        <v>3787259.53</v>
      </c>
      <c r="F60" s="165">
        <v>3787259.53</v>
      </c>
      <c r="G60" s="166">
        <f t="shared" si="18"/>
        <v>7400303.5800000001</v>
      </c>
    </row>
    <row r="61" spans="1:7" x14ac:dyDescent="0.25">
      <c r="A61" s="70" t="s">
        <v>337</v>
      </c>
      <c r="B61" s="166"/>
      <c r="C61" s="166"/>
      <c r="D61" s="166">
        <f t="shared" si="17"/>
        <v>0</v>
      </c>
      <c r="E61" s="166"/>
      <c r="F61" s="166"/>
      <c r="G61" s="166">
        <f t="shared" si="18"/>
        <v>0</v>
      </c>
    </row>
    <row r="62" spans="1:7" x14ac:dyDescent="0.25">
      <c r="A62" s="69" t="s">
        <v>338</v>
      </c>
      <c r="B62" s="66">
        <f>SUM(B63:B67,B69:B70)</f>
        <v>102888949.86</v>
      </c>
      <c r="C62" s="66">
        <f t="shared" ref="C62:G62" si="19">SUM(C63:C67,C69:C70)</f>
        <v>-2248785.37</v>
      </c>
      <c r="D62" s="66">
        <f t="shared" si="19"/>
        <v>100640164.48999999</v>
      </c>
      <c r="E62" s="66">
        <f t="shared" si="19"/>
        <v>0</v>
      </c>
      <c r="F62" s="66">
        <f t="shared" si="19"/>
        <v>0</v>
      </c>
      <c r="G62" s="66">
        <f t="shared" si="19"/>
        <v>100640164.48999999</v>
      </c>
    </row>
    <row r="63" spans="1:7" x14ac:dyDescent="0.25">
      <c r="A63" s="70" t="s">
        <v>339</v>
      </c>
      <c r="B63" s="166"/>
      <c r="C63" s="166"/>
      <c r="D63" s="166">
        <f t="shared" ref="D63:D70" si="20">B63+C63</f>
        <v>0</v>
      </c>
      <c r="E63" s="166"/>
      <c r="F63" s="166"/>
      <c r="G63" s="166">
        <f t="shared" ref="G63:G70" si="21">D63-E63</f>
        <v>0</v>
      </c>
    </row>
    <row r="64" spans="1:7" x14ac:dyDescent="0.25">
      <c r="A64" s="70" t="s">
        <v>340</v>
      </c>
      <c r="B64" s="166"/>
      <c r="C64" s="166"/>
      <c r="D64" s="166">
        <f t="shared" si="20"/>
        <v>0</v>
      </c>
      <c r="E64" s="166"/>
      <c r="F64" s="166"/>
      <c r="G64" s="166">
        <f t="shared" si="21"/>
        <v>0</v>
      </c>
    </row>
    <row r="65" spans="1:7" x14ac:dyDescent="0.25">
      <c r="A65" s="70" t="s">
        <v>341</v>
      </c>
      <c r="B65" s="166"/>
      <c r="C65" s="166"/>
      <c r="D65" s="166">
        <f t="shared" si="20"/>
        <v>0</v>
      </c>
      <c r="E65" s="166"/>
      <c r="F65" s="166"/>
      <c r="G65" s="166">
        <f t="shared" si="21"/>
        <v>0</v>
      </c>
    </row>
    <row r="66" spans="1:7" x14ac:dyDescent="0.25">
      <c r="A66" s="70" t="s">
        <v>342</v>
      </c>
      <c r="B66" s="166"/>
      <c r="C66" s="166"/>
      <c r="D66" s="166">
        <f t="shared" si="20"/>
        <v>0</v>
      </c>
      <c r="E66" s="166"/>
      <c r="F66" s="166"/>
      <c r="G66" s="166">
        <f t="shared" si="21"/>
        <v>0</v>
      </c>
    </row>
    <row r="67" spans="1:7" x14ac:dyDescent="0.25">
      <c r="A67" s="70" t="s">
        <v>343</v>
      </c>
      <c r="B67" s="166"/>
      <c r="C67" s="166"/>
      <c r="D67" s="166">
        <f t="shared" si="20"/>
        <v>0</v>
      </c>
      <c r="E67" s="166"/>
      <c r="F67" s="166"/>
      <c r="G67" s="166">
        <f t="shared" si="21"/>
        <v>0</v>
      </c>
    </row>
    <row r="68" spans="1:7" x14ac:dyDescent="0.25">
      <c r="A68" s="70" t="s">
        <v>3301</v>
      </c>
      <c r="B68" s="166"/>
      <c r="C68" s="166"/>
      <c r="D68" s="166">
        <f t="shared" si="20"/>
        <v>0</v>
      </c>
      <c r="E68" s="166"/>
      <c r="F68" s="166"/>
      <c r="G68" s="166">
        <f t="shared" si="21"/>
        <v>0</v>
      </c>
    </row>
    <row r="69" spans="1:7" x14ac:dyDescent="0.25">
      <c r="A69" s="70" t="s">
        <v>345</v>
      </c>
      <c r="B69" s="166"/>
      <c r="C69" s="166"/>
      <c r="D69" s="166">
        <f t="shared" si="20"/>
        <v>0</v>
      </c>
      <c r="E69" s="166"/>
      <c r="F69" s="166"/>
      <c r="G69" s="166">
        <f t="shared" si="21"/>
        <v>0</v>
      </c>
    </row>
    <row r="70" spans="1:7" x14ac:dyDescent="0.25">
      <c r="A70" s="70" t="s">
        <v>346</v>
      </c>
      <c r="B70" s="165">
        <v>102888949.86</v>
      </c>
      <c r="C70" s="165">
        <v>-2248785.37</v>
      </c>
      <c r="D70" s="166">
        <f t="shared" si="20"/>
        <v>100640164.48999999</v>
      </c>
      <c r="E70" s="165">
        <v>0</v>
      </c>
      <c r="F70" s="165">
        <v>0</v>
      </c>
      <c r="G70" s="166">
        <f t="shared" si="21"/>
        <v>100640164.48999999</v>
      </c>
    </row>
    <row r="71" spans="1:7" x14ac:dyDescent="0.25">
      <c r="A71" s="69" t="s">
        <v>347</v>
      </c>
      <c r="B71" s="66">
        <f>SUM(B72:B74)</f>
        <v>5100000</v>
      </c>
      <c r="C71" s="66">
        <f t="shared" ref="C71:G71" si="22">SUM(C72:C74)</f>
        <v>6743711.9900000002</v>
      </c>
      <c r="D71" s="66">
        <f t="shared" si="22"/>
        <v>11843711.99</v>
      </c>
      <c r="E71" s="66">
        <f t="shared" si="22"/>
        <v>1486042.75</v>
      </c>
      <c r="F71" s="66">
        <f t="shared" si="22"/>
        <v>1486042.75</v>
      </c>
      <c r="G71" s="66">
        <f t="shared" si="22"/>
        <v>10357669.24</v>
      </c>
    </row>
    <row r="72" spans="1:7" x14ac:dyDescent="0.25">
      <c r="A72" s="70" t="s">
        <v>348</v>
      </c>
      <c r="B72" s="166"/>
      <c r="C72" s="166"/>
      <c r="D72" s="166">
        <f t="shared" ref="D72:D74" si="23">B72+C72</f>
        <v>0</v>
      </c>
      <c r="E72" s="166"/>
      <c r="F72" s="166"/>
      <c r="G72" s="166">
        <f t="shared" ref="G72:G74" si="24">D72-E72</f>
        <v>0</v>
      </c>
    </row>
    <row r="73" spans="1:7" x14ac:dyDescent="0.25">
      <c r="A73" s="70" t="s">
        <v>349</v>
      </c>
      <c r="B73" s="166"/>
      <c r="C73" s="166"/>
      <c r="D73" s="166">
        <f t="shared" si="23"/>
        <v>0</v>
      </c>
      <c r="E73" s="166"/>
      <c r="F73" s="166"/>
      <c r="G73" s="166">
        <f t="shared" si="24"/>
        <v>0</v>
      </c>
    </row>
    <row r="74" spans="1:7" x14ac:dyDescent="0.25">
      <c r="A74" s="70" t="s">
        <v>350</v>
      </c>
      <c r="B74" s="165">
        <v>5100000</v>
      </c>
      <c r="C74" s="165">
        <v>6743711.9900000002</v>
      </c>
      <c r="D74" s="166">
        <f t="shared" si="23"/>
        <v>11843711.99</v>
      </c>
      <c r="E74" s="165">
        <v>1486042.75</v>
      </c>
      <c r="F74" s="165">
        <v>1486042.75</v>
      </c>
      <c r="G74" s="166">
        <f t="shared" si="24"/>
        <v>10357669.24</v>
      </c>
    </row>
    <row r="75" spans="1:7" x14ac:dyDescent="0.25">
      <c r="A75" s="69" t="s">
        <v>351</v>
      </c>
      <c r="B75" s="66">
        <f>SUM(B76:B82)</f>
        <v>16189870.170000002</v>
      </c>
      <c r="C75" s="66">
        <f t="shared" ref="C75:G75" si="25">SUM(C76:C82)</f>
        <v>0</v>
      </c>
      <c r="D75" s="66">
        <f t="shared" si="25"/>
        <v>16189870.170000002</v>
      </c>
      <c r="E75" s="66">
        <f t="shared" si="25"/>
        <v>0</v>
      </c>
      <c r="F75" s="66">
        <f t="shared" si="25"/>
        <v>0</v>
      </c>
      <c r="G75" s="66">
        <f t="shared" si="25"/>
        <v>16189870.170000002</v>
      </c>
    </row>
    <row r="76" spans="1:7" x14ac:dyDescent="0.25">
      <c r="A76" s="70" t="s">
        <v>352</v>
      </c>
      <c r="B76" s="165">
        <v>6657061.1200000001</v>
      </c>
      <c r="C76" s="165">
        <v>0</v>
      </c>
      <c r="D76" s="166">
        <f t="shared" ref="D76:D82" si="26">B76+C76</f>
        <v>6657061.1200000001</v>
      </c>
      <c r="E76" s="165">
        <v>0</v>
      </c>
      <c r="F76" s="165">
        <v>0</v>
      </c>
      <c r="G76" s="166">
        <f t="shared" ref="G76:G82" si="27">D76-E76</f>
        <v>6657061.1200000001</v>
      </c>
    </row>
    <row r="77" spans="1:7" x14ac:dyDescent="0.25">
      <c r="A77" s="70" t="s">
        <v>353</v>
      </c>
      <c r="B77" s="165">
        <v>9532809.0500000007</v>
      </c>
      <c r="C77" s="165">
        <v>0</v>
      </c>
      <c r="D77" s="166">
        <f t="shared" si="26"/>
        <v>9532809.0500000007</v>
      </c>
      <c r="E77" s="165">
        <v>0</v>
      </c>
      <c r="F77" s="165">
        <v>0</v>
      </c>
      <c r="G77" s="166">
        <f t="shared" si="27"/>
        <v>9532809.0500000007</v>
      </c>
    </row>
    <row r="78" spans="1:7" x14ac:dyDescent="0.25">
      <c r="A78" s="70" t="s">
        <v>354</v>
      </c>
      <c r="B78" s="166"/>
      <c r="C78" s="166"/>
      <c r="D78" s="166">
        <f t="shared" si="26"/>
        <v>0</v>
      </c>
      <c r="E78" s="166"/>
      <c r="F78" s="166"/>
      <c r="G78" s="166">
        <f t="shared" si="27"/>
        <v>0</v>
      </c>
    </row>
    <row r="79" spans="1:7" x14ac:dyDescent="0.25">
      <c r="A79" s="70" t="s">
        <v>355</v>
      </c>
      <c r="B79" s="166"/>
      <c r="C79" s="166"/>
      <c r="D79" s="166">
        <f t="shared" si="26"/>
        <v>0</v>
      </c>
      <c r="E79" s="166"/>
      <c r="F79" s="166"/>
      <c r="G79" s="166">
        <f t="shared" si="27"/>
        <v>0</v>
      </c>
    </row>
    <row r="80" spans="1:7" x14ac:dyDescent="0.25">
      <c r="A80" s="70" t="s">
        <v>356</v>
      </c>
      <c r="B80" s="166"/>
      <c r="C80" s="166"/>
      <c r="D80" s="166">
        <f t="shared" si="26"/>
        <v>0</v>
      </c>
      <c r="E80" s="166"/>
      <c r="F80" s="166"/>
      <c r="G80" s="166">
        <f t="shared" si="27"/>
        <v>0</v>
      </c>
    </row>
    <row r="81" spans="1:7" x14ac:dyDescent="0.25">
      <c r="A81" s="70" t="s">
        <v>357</v>
      </c>
      <c r="B81" s="166"/>
      <c r="C81" s="166"/>
      <c r="D81" s="166">
        <f t="shared" si="26"/>
        <v>0</v>
      </c>
      <c r="E81" s="166"/>
      <c r="F81" s="166"/>
      <c r="G81" s="166">
        <f t="shared" si="27"/>
        <v>0</v>
      </c>
    </row>
    <row r="82" spans="1:7" x14ac:dyDescent="0.25">
      <c r="A82" s="70" t="s">
        <v>358</v>
      </c>
      <c r="B82" s="166"/>
      <c r="C82" s="166"/>
      <c r="D82" s="166">
        <f t="shared" si="26"/>
        <v>0</v>
      </c>
      <c r="E82" s="166"/>
      <c r="F82" s="166"/>
      <c r="G82" s="166">
        <f t="shared" si="27"/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222077649</v>
      </c>
      <c r="C84" s="65">
        <f t="shared" ref="C84:G84" si="28">SUM(C85,C93,C103,C113,C123,C133,C137,C146,C150)</f>
        <v>-2813528.7499999981</v>
      </c>
      <c r="D84" s="65">
        <f t="shared" si="28"/>
        <v>219264120.24999997</v>
      </c>
      <c r="E84" s="65">
        <f t="shared" si="28"/>
        <v>46029735.389999993</v>
      </c>
      <c r="F84" s="65">
        <f t="shared" si="28"/>
        <v>46029735.389999993</v>
      </c>
      <c r="G84" s="65">
        <f t="shared" si="28"/>
        <v>173234384.86000001</v>
      </c>
    </row>
    <row r="85" spans="1:7" x14ac:dyDescent="0.25">
      <c r="A85" s="69" t="s">
        <v>286</v>
      </c>
      <c r="B85" s="66">
        <f>SUM(B86:B92)</f>
        <v>84927750.820000008</v>
      </c>
      <c r="C85" s="66">
        <f t="shared" ref="C85:G85" si="29">SUM(C86:C92)</f>
        <v>0</v>
      </c>
      <c r="D85" s="66">
        <f t="shared" si="29"/>
        <v>84927750.820000008</v>
      </c>
      <c r="E85" s="66">
        <f t="shared" si="29"/>
        <v>37985897.209999993</v>
      </c>
      <c r="F85" s="66">
        <f t="shared" si="29"/>
        <v>37985897.209999993</v>
      </c>
      <c r="G85" s="66">
        <f t="shared" si="29"/>
        <v>46941853.610000007</v>
      </c>
    </row>
    <row r="86" spans="1:7" x14ac:dyDescent="0.25">
      <c r="A86" s="70" t="s">
        <v>287</v>
      </c>
      <c r="B86" s="165">
        <v>71771689.870000005</v>
      </c>
      <c r="C86" s="165">
        <v>0</v>
      </c>
      <c r="D86" s="166">
        <f t="shared" ref="D86:D92" si="30">B86+C86</f>
        <v>71771689.870000005</v>
      </c>
      <c r="E86" s="165">
        <v>32137633.199999999</v>
      </c>
      <c r="F86" s="165">
        <v>32137633.199999999</v>
      </c>
      <c r="G86" s="166">
        <f t="shared" ref="G86:G92" si="31">D86-E86</f>
        <v>39634056.670000002</v>
      </c>
    </row>
    <row r="87" spans="1:7" x14ac:dyDescent="0.25">
      <c r="A87" s="70" t="s">
        <v>288</v>
      </c>
      <c r="B87" s="166"/>
      <c r="C87" s="166"/>
      <c r="D87" s="166">
        <f t="shared" si="30"/>
        <v>0</v>
      </c>
      <c r="E87" s="166"/>
      <c r="F87" s="166"/>
      <c r="G87" s="166">
        <f t="shared" si="31"/>
        <v>0</v>
      </c>
    </row>
    <row r="88" spans="1:7" x14ac:dyDescent="0.25">
      <c r="A88" s="70" t="s">
        <v>289</v>
      </c>
      <c r="B88" s="165">
        <v>9070048.7300000004</v>
      </c>
      <c r="C88" s="165">
        <v>0</v>
      </c>
      <c r="D88" s="166">
        <f t="shared" si="30"/>
        <v>9070048.7300000004</v>
      </c>
      <c r="E88" s="165">
        <v>3683369.1</v>
      </c>
      <c r="F88" s="165">
        <v>3683369.1</v>
      </c>
      <c r="G88" s="166">
        <f t="shared" si="31"/>
        <v>5386679.6300000008</v>
      </c>
    </row>
    <row r="89" spans="1:7" x14ac:dyDescent="0.25">
      <c r="A89" s="70" t="s">
        <v>290</v>
      </c>
      <c r="B89" s="166"/>
      <c r="C89" s="166"/>
      <c r="D89" s="166">
        <f t="shared" si="30"/>
        <v>0</v>
      </c>
      <c r="E89" s="166"/>
      <c r="F89" s="166"/>
      <c r="G89" s="166">
        <f t="shared" si="31"/>
        <v>0</v>
      </c>
    </row>
    <row r="90" spans="1:7" x14ac:dyDescent="0.25">
      <c r="A90" s="70" t="s">
        <v>291</v>
      </c>
      <c r="B90" s="165">
        <v>4086012.22</v>
      </c>
      <c r="C90" s="165">
        <v>0</v>
      </c>
      <c r="D90" s="166">
        <f t="shared" si="30"/>
        <v>4086012.22</v>
      </c>
      <c r="E90" s="165">
        <v>2164894.91</v>
      </c>
      <c r="F90" s="165">
        <v>2164894.91</v>
      </c>
      <c r="G90" s="166">
        <f t="shared" si="31"/>
        <v>1921117.31</v>
      </c>
    </row>
    <row r="91" spans="1:7" x14ac:dyDescent="0.25">
      <c r="A91" s="70" t="s">
        <v>292</v>
      </c>
      <c r="B91" s="166"/>
      <c r="C91" s="166"/>
      <c r="D91" s="166">
        <f t="shared" si="30"/>
        <v>0</v>
      </c>
      <c r="E91" s="166"/>
      <c r="F91" s="166"/>
      <c r="G91" s="166">
        <f t="shared" si="31"/>
        <v>0</v>
      </c>
    </row>
    <row r="92" spans="1:7" x14ac:dyDescent="0.25">
      <c r="A92" s="70" t="s">
        <v>293</v>
      </c>
      <c r="B92" s="166"/>
      <c r="C92" s="166"/>
      <c r="D92" s="166">
        <f t="shared" si="30"/>
        <v>0</v>
      </c>
      <c r="E92" s="166"/>
      <c r="F92" s="166"/>
      <c r="G92" s="166">
        <f t="shared" si="31"/>
        <v>0</v>
      </c>
    </row>
    <row r="93" spans="1:7" x14ac:dyDescent="0.25">
      <c r="A93" s="69" t="s">
        <v>294</v>
      </c>
      <c r="B93" s="66">
        <f>SUM(B94:B102)</f>
        <v>5321621.5999999996</v>
      </c>
      <c r="C93" s="66">
        <f t="shared" ref="C93:G93" si="32">SUM(C94:C102)</f>
        <v>4561356.8900000006</v>
      </c>
      <c r="D93" s="66">
        <f t="shared" si="32"/>
        <v>9882978.4900000002</v>
      </c>
      <c r="E93" s="66">
        <f t="shared" si="32"/>
        <v>2679061.4</v>
      </c>
      <c r="F93" s="66">
        <f t="shared" si="32"/>
        <v>2679061.4</v>
      </c>
      <c r="G93" s="66">
        <f t="shared" si="32"/>
        <v>7203917.0899999999</v>
      </c>
    </row>
    <row r="94" spans="1:7" x14ac:dyDescent="0.25">
      <c r="A94" s="70" t="s">
        <v>295</v>
      </c>
      <c r="B94" s="165">
        <v>0</v>
      </c>
      <c r="C94" s="165">
        <v>993543.69</v>
      </c>
      <c r="D94" s="166">
        <f t="shared" ref="D94:D102" si="33">B94+C94</f>
        <v>993543.69</v>
      </c>
      <c r="E94" s="165">
        <v>0</v>
      </c>
      <c r="F94" s="165">
        <v>0</v>
      </c>
      <c r="G94" s="166">
        <f t="shared" ref="G94:G102" si="34">D94-E94</f>
        <v>993543.69</v>
      </c>
    </row>
    <row r="95" spans="1:7" x14ac:dyDescent="0.25">
      <c r="A95" s="70" t="s">
        <v>296</v>
      </c>
      <c r="B95" s="166"/>
      <c r="C95" s="166"/>
      <c r="D95" s="166">
        <f t="shared" si="33"/>
        <v>0</v>
      </c>
      <c r="E95" s="166"/>
      <c r="F95" s="166"/>
      <c r="G95" s="166">
        <f t="shared" si="34"/>
        <v>0</v>
      </c>
    </row>
    <row r="96" spans="1:7" x14ac:dyDescent="0.25">
      <c r="A96" s="70" t="s">
        <v>297</v>
      </c>
      <c r="B96" s="165">
        <v>0</v>
      </c>
      <c r="C96" s="165">
        <v>100000</v>
      </c>
      <c r="D96" s="166">
        <f t="shared" si="33"/>
        <v>100000</v>
      </c>
      <c r="E96" s="165">
        <v>0</v>
      </c>
      <c r="F96" s="165">
        <v>0</v>
      </c>
      <c r="G96" s="166">
        <f t="shared" si="34"/>
        <v>100000</v>
      </c>
    </row>
    <row r="97" spans="1:7" x14ac:dyDescent="0.25">
      <c r="A97" s="70" t="s">
        <v>298</v>
      </c>
      <c r="B97" s="166"/>
      <c r="C97" s="166"/>
      <c r="D97" s="166">
        <f t="shared" si="33"/>
        <v>0</v>
      </c>
      <c r="E97" s="166"/>
      <c r="F97" s="166"/>
      <c r="G97" s="166">
        <f t="shared" si="34"/>
        <v>0</v>
      </c>
    </row>
    <row r="98" spans="1:7" x14ac:dyDescent="0.25">
      <c r="A98" s="34" t="s">
        <v>299</v>
      </c>
      <c r="B98" s="166"/>
      <c r="C98" s="166"/>
      <c r="D98" s="166">
        <f t="shared" si="33"/>
        <v>0</v>
      </c>
      <c r="E98" s="166"/>
      <c r="F98" s="166"/>
      <c r="G98" s="166">
        <f t="shared" si="34"/>
        <v>0</v>
      </c>
    </row>
    <row r="99" spans="1:7" x14ac:dyDescent="0.25">
      <c r="A99" s="70" t="s">
        <v>300</v>
      </c>
      <c r="B99" s="165">
        <v>5321621.5999999996</v>
      </c>
      <c r="C99" s="165">
        <v>500000</v>
      </c>
      <c r="D99" s="166">
        <f t="shared" si="33"/>
        <v>5821621.5999999996</v>
      </c>
      <c r="E99" s="165">
        <v>2679061.4</v>
      </c>
      <c r="F99" s="165">
        <v>2679061.4</v>
      </c>
      <c r="G99" s="166">
        <f t="shared" si="34"/>
        <v>3142560.1999999997</v>
      </c>
    </row>
    <row r="100" spans="1:7" x14ac:dyDescent="0.25">
      <c r="A100" s="70" t="s">
        <v>301</v>
      </c>
      <c r="B100" s="165">
        <v>0</v>
      </c>
      <c r="C100" s="165">
        <v>2676289.96</v>
      </c>
      <c r="D100" s="166">
        <f t="shared" si="33"/>
        <v>2676289.96</v>
      </c>
      <c r="E100" s="165">
        <v>0</v>
      </c>
      <c r="F100" s="165">
        <v>0</v>
      </c>
      <c r="G100" s="166">
        <f t="shared" si="34"/>
        <v>2676289.96</v>
      </c>
    </row>
    <row r="101" spans="1:7" x14ac:dyDescent="0.25">
      <c r="A101" s="70" t="s">
        <v>302</v>
      </c>
      <c r="B101" s="166"/>
      <c r="C101" s="166"/>
      <c r="D101" s="166">
        <f t="shared" si="33"/>
        <v>0</v>
      </c>
      <c r="E101" s="166"/>
      <c r="F101" s="166"/>
      <c r="G101" s="166">
        <f t="shared" si="34"/>
        <v>0</v>
      </c>
    </row>
    <row r="102" spans="1:7" x14ac:dyDescent="0.25">
      <c r="A102" s="70" t="s">
        <v>303</v>
      </c>
      <c r="B102" s="165">
        <v>0</v>
      </c>
      <c r="C102" s="165">
        <v>291523.24</v>
      </c>
      <c r="D102" s="166">
        <f t="shared" si="33"/>
        <v>291523.24</v>
      </c>
      <c r="E102" s="165">
        <v>0</v>
      </c>
      <c r="F102" s="165">
        <v>0</v>
      </c>
      <c r="G102" s="166">
        <f t="shared" si="34"/>
        <v>291523.24</v>
      </c>
    </row>
    <row r="103" spans="1:7" x14ac:dyDescent="0.25">
      <c r="A103" s="69" t="s">
        <v>304</v>
      </c>
      <c r="B103" s="66">
        <f>SUM(B104:B112)</f>
        <v>3000000</v>
      </c>
      <c r="C103" s="66">
        <f>SUM(C104:C112)</f>
        <v>11499787.310000001</v>
      </c>
      <c r="D103" s="66">
        <f t="shared" ref="D103:G103" si="35">SUM(D104:D112)</f>
        <v>14499787.310000001</v>
      </c>
      <c r="E103" s="66">
        <f t="shared" si="35"/>
        <v>1251367.74</v>
      </c>
      <c r="F103" s="66">
        <f t="shared" si="35"/>
        <v>1251367.74</v>
      </c>
      <c r="G103" s="66">
        <f t="shared" si="35"/>
        <v>13248419.569999998</v>
      </c>
    </row>
    <row r="104" spans="1:7" x14ac:dyDescent="0.25">
      <c r="A104" s="70" t="s">
        <v>305</v>
      </c>
      <c r="B104" s="166"/>
      <c r="C104" s="166"/>
      <c r="D104" s="166">
        <f t="shared" ref="D104:D112" si="36">B104+C104</f>
        <v>0</v>
      </c>
      <c r="E104" s="166"/>
      <c r="F104" s="166"/>
      <c r="G104" s="166">
        <f t="shared" ref="G104:G112" si="37">D104-E104</f>
        <v>0</v>
      </c>
    </row>
    <row r="105" spans="1:7" x14ac:dyDescent="0.25">
      <c r="A105" s="70" t="s">
        <v>306</v>
      </c>
      <c r="B105" s="166"/>
      <c r="C105" s="166"/>
      <c r="D105" s="166">
        <f t="shared" si="36"/>
        <v>0</v>
      </c>
      <c r="E105" s="166"/>
      <c r="F105" s="166"/>
      <c r="G105" s="166">
        <f t="shared" si="37"/>
        <v>0</v>
      </c>
    </row>
    <row r="106" spans="1:7" x14ac:dyDescent="0.25">
      <c r="A106" s="70" t="s">
        <v>307</v>
      </c>
      <c r="B106" s="165">
        <v>0</v>
      </c>
      <c r="C106" s="165">
        <v>9474181.3399999999</v>
      </c>
      <c r="D106" s="166">
        <f t="shared" si="36"/>
        <v>9474181.3399999999</v>
      </c>
      <c r="E106" s="165">
        <v>0</v>
      </c>
      <c r="F106" s="165">
        <v>0</v>
      </c>
      <c r="G106" s="166">
        <f t="shared" si="37"/>
        <v>9474181.3399999999</v>
      </c>
    </row>
    <row r="107" spans="1:7" x14ac:dyDescent="0.25">
      <c r="A107" s="70" t="s">
        <v>308</v>
      </c>
      <c r="B107" s="166"/>
      <c r="C107" s="166"/>
      <c r="D107" s="166">
        <f t="shared" si="36"/>
        <v>0</v>
      </c>
      <c r="E107" s="166"/>
      <c r="F107" s="166"/>
      <c r="G107" s="166">
        <f t="shared" si="37"/>
        <v>0</v>
      </c>
    </row>
    <row r="108" spans="1:7" x14ac:dyDescent="0.25">
      <c r="A108" s="70" t="s">
        <v>309</v>
      </c>
      <c r="B108" s="165">
        <v>3000000</v>
      </c>
      <c r="C108" s="165">
        <v>1598967.96</v>
      </c>
      <c r="D108" s="166">
        <f t="shared" si="36"/>
        <v>4598967.96</v>
      </c>
      <c r="E108" s="165">
        <v>1251367.74</v>
      </c>
      <c r="F108" s="165">
        <v>1251367.74</v>
      </c>
      <c r="G108" s="166">
        <f t="shared" si="37"/>
        <v>3347600.2199999997</v>
      </c>
    </row>
    <row r="109" spans="1:7" x14ac:dyDescent="0.25">
      <c r="A109" s="70" t="s">
        <v>310</v>
      </c>
      <c r="B109" s="166"/>
      <c r="C109" s="166"/>
      <c r="D109" s="166">
        <f t="shared" si="36"/>
        <v>0</v>
      </c>
      <c r="E109" s="166"/>
      <c r="F109" s="166"/>
      <c r="G109" s="166">
        <f t="shared" si="37"/>
        <v>0</v>
      </c>
    </row>
    <row r="110" spans="1:7" x14ac:dyDescent="0.25">
      <c r="A110" s="70" t="s">
        <v>311</v>
      </c>
      <c r="B110" s="165">
        <v>0</v>
      </c>
      <c r="C110" s="165">
        <v>48000</v>
      </c>
      <c r="D110" s="166">
        <f t="shared" si="36"/>
        <v>48000</v>
      </c>
      <c r="E110" s="165">
        <v>0</v>
      </c>
      <c r="F110" s="165">
        <v>0</v>
      </c>
      <c r="G110" s="166">
        <f t="shared" si="37"/>
        <v>48000</v>
      </c>
    </row>
    <row r="111" spans="1:7" x14ac:dyDescent="0.25">
      <c r="A111" s="70" t="s">
        <v>312</v>
      </c>
      <c r="B111" s="166"/>
      <c r="C111" s="166"/>
      <c r="D111" s="166">
        <f t="shared" si="36"/>
        <v>0</v>
      </c>
      <c r="E111" s="166"/>
      <c r="F111" s="166"/>
      <c r="G111" s="166">
        <f t="shared" si="37"/>
        <v>0</v>
      </c>
    </row>
    <row r="112" spans="1:7" x14ac:dyDescent="0.25">
      <c r="A112" s="70" t="s">
        <v>313</v>
      </c>
      <c r="B112" s="165">
        <v>0</v>
      </c>
      <c r="C112" s="165">
        <v>378638.01</v>
      </c>
      <c r="D112" s="166">
        <f t="shared" si="36"/>
        <v>378638.01</v>
      </c>
      <c r="E112" s="165">
        <v>0</v>
      </c>
      <c r="F112" s="165">
        <v>0</v>
      </c>
      <c r="G112" s="166">
        <f t="shared" si="37"/>
        <v>378638.01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38">SUM(C114:C122)</f>
        <v>68280912.269999996</v>
      </c>
      <c r="D113" s="66">
        <f t="shared" si="38"/>
        <v>68280912.269999996</v>
      </c>
      <c r="E113" s="66">
        <f t="shared" si="38"/>
        <v>0</v>
      </c>
      <c r="F113" s="66">
        <f t="shared" si="38"/>
        <v>0</v>
      </c>
      <c r="G113" s="66">
        <f t="shared" si="38"/>
        <v>68280912.269999996</v>
      </c>
    </row>
    <row r="114" spans="1:7" x14ac:dyDescent="0.25">
      <c r="A114" s="70" t="s">
        <v>315</v>
      </c>
      <c r="B114" s="166"/>
      <c r="C114" s="166"/>
      <c r="D114" s="166">
        <f t="shared" ref="D114:D122" si="39">B114+C114</f>
        <v>0</v>
      </c>
      <c r="E114" s="166"/>
      <c r="F114" s="166"/>
      <c r="G114" s="166">
        <f t="shared" ref="G114:G122" si="40">D114-E114</f>
        <v>0</v>
      </c>
    </row>
    <row r="115" spans="1:7" x14ac:dyDescent="0.25">
      <c r="A115" s="70" t="s">
        <v>316</v>
      </c>
      <c r="B115" s="166"/>
      <c r="C115" s="166"/>
      <c r="D115" s="166">
        <f t="shared" si="39"/>
        <v>0</v>
      </c>
      <c r="E115" s="166"/>
      <c r="F115" s="166"/>
      <c r="G115" s="166">
        <f t="shared" si="40"/>
        <v>0</v>
      </c>
    </row>
    <row r="116" spans="1:7" x14ac:dyDescent="0.25">
      <c r="A116" s="70" t="s">
        <v>317</v>
      </c>
      <c r="B116" s="166"/>
      <c r="C116" s="166"/>
      <c r="D116" s="166">
        <f t="shared" si="39"/>
        <v>0</v>
      </c>
      <c r="E116" s="166"/>
      <c r="F116" s="166"/>
      <c r="G116" s="166">
        <f t="shared" si="40"/>
        <v>0</v>
      </c>
    </row>
    <row r="117" spans="1:7" x14ac:dyDescent="0.25">
      <c r="A117" s="70" t="s">
        <v>318</v>
      </c>
      <c r="B117" s="165">
        <v>0</v>
      </c>
      <c r="C117" s="165">
        <v>68280912.269999996</v>
      </c>
      <c r="D117" s="166">
        <f t="shared" si="39"/>
        <v>68280912.269999996</v>
      </c>
      <c r="E117" s="165">
        <v>0</v>
      </c>
      <c r="F117" s="165">
        <v>0</v>
      </c>
      <c r="G117" s="166">
        <f t="shared" si="40"/>
        <v>68280912.269999996</v>
      </c>
    </row>
    <row r="118" spans="1:7" x14ac:dyDescent="0.25">
      <c r="A118" s="70" t="s">
        <v>319</v>
      </c>
      <c r="B118" s="166"/>
      <c r="C118" s="166"/>
      <c r="D118" s="166">
        <f t="shared" si="39"/>
        <v>0</v>
      </c>
      <c r="E118" s="166"/>
      <c r="F118" s="166"/>
      <c r="G118" s="166">
        <f t="shared" si="40"/>
        <v>0</v>
      </c>
    </row>
    <row r="119" spans="1:7" x14ac:dyDescent="0.25">
      <c r="A119" s="70" t="s">
        <v>320</v>
      </c>
      <c r="B119" s="166"/>
      <c r="C119" s="166"/>
      <c r="D119" s="166">
        <f t="shared" si="39"/>
        <v>0</v>
      </c>
      <c r="E119" s="166"/>
      <c r="F119" s="166"/>
      <c r="G119" s="166">
        <f t="shared" si="40"/>
        <v>0</v>
      </c>
    </row>
    <row r="120" spans="1:7" x14ac:dyDescent="0.25">
      <c r="A120" s="70" t="s">
        <v>321</v>
      </c>
      <c r="B120" s="166"/>
      <c r="C120" s="166"/>
      <c r="D120" s="166">
        <f t="shared" si="39"/>
        <v>0</v>
      </c>
      <c r="E120" s="166"/>
      <c r="F120" s="166"/>
      <c r="G120" s="166">
        <f t="shared" si="40"/>
        <v>0</v>
      </c>
    </row>
    <row r="121" spans="1:7" x14ac:dyDescent="0.25">
      <c r="A121" s="70" t="s">
        <v>322</v>
      </c>
      <c r="B121" s="166"/>
      <c r="C121" s="166"/>
      <c r="D121" s="166">
        <f t="shared" si="39"/>
        <v>0</v>
      </c>
      <c r="E121" s="166"/>
      <c r="F121" s="166"/>
      <c r="G121" s="166">
        <f t="shared" si="40"/>
        <v>0</v>
      </c>
    </row>
    <row r="122" spans="1:7" x14ac:dyDescent="0.25">
      <c r="A122" s="70" t="s">
        <v>323</v>
      </c>
      <c r="B122" s="166"/>
      <c r="C122" s="166"/>
      <c r="D122" s="166">
        <f t="shared" si="39"/>
        <v>0</v>
      </c>
      <c r="E122" s="166"/>
      <c r="F122" s="166"/>
      <c r="G122" s="166">
        <f t="shared" si="40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41">SUM(C124:C132)</f>
        <v>13019492.309999999</v>
      </c>
      <c r="D123" s="66">
        <f t="shared" si="41"/>
        <v>13019492.309999999</v>
      </c>
      <c r="E123" s="66">
        <f t="shared" si="41"/>
        <v>0</v>
      </c>
      <c r="F123" s="66">
        <f t="shared" si="41"/>
        <v>0</v>
      </c>
      <c r="G123" s="66">
        <f t="shared" si="41"/>
        <v>13019492.309999999</v>
      </c>
    </row>
    <row r="124" spans="1:7" x14ac:dyDescent="0.25">
      <c r="A124" s="70" t="s">
        <v>325</v>
      </c>
      <c r="B124" s="165">
        <v>0</v>
      </c>
      <c r="C124" s="165">
        <v>6998880.9299999997</v>
      </c>
      <c r="D124" s="166">
        <f t="shared" ref="D124:D132" si="42">B124+C124</f>
        <v>6998880.9299999997</v>
      </c>
      <c r="E124" s="165">
        <v>0</v>
      </c>
      <c r="F124" s="165">
        <v>0</v>
      </c>
      <c r="G124" s="166">
        <f t="shared" ref="G124:G132" si="43">D124-E124</f>
        <v>6998880.9299999997</v>
      </c>
    </row>
    <row r="125" spans="1:7" x14ac:dyDescent="0.25">
      <c r="A125" s="70" t="s">
        <v>326</v>
      </c>
      <c r="B125" s="165">
        <v>0</v>
      </c>
      <c r="C125" s="165">
        <v>1580671.16</v>
      </c>
      <c r="D125" s="166">
        <f t="shared" si="42"/>
        <v>1580671.16</v>
      </c>
      <c r="E125" s="165">
        <v>0</v>
      </c>
      <c r="F125" s="165">
        <v>0</v>
      </c>
      <c r="G125" s="166">
        <f t="shared" si="43"/>
        <v>1580671.16</v>
      </c>
    </row>
    <row r="126" spans="1:7" x14ac:dyDescent="0.25">
      <c r="A126" s="70" t="s">
        <v>327</v>
      </c>
      <c r="B126" s="166"/>
      <c r="C126" s="166"/>
      <c r="D126" s="166">
        <f t="shared" si="42"/>
        <v>0</v>
      </c>
      <c r="E126" s="166"/>
      <c r="F126" s="166"/>
      <c r="G126" s="166">
        <f t="shared" si="43"/>
        <v>0</v>
      </c>
    </row>
    <row r="127" spans="1:7" x14ac:dyDescent="0.25">
      <c r="A127" s="70" t="s">
        <v>328</v>
      </c>
      <c r="B127" s="165">
        <v>0</v>
      </c>
      <c r="C127" s="165">
        <v>439068.11</v>
      </c>
      <c r="D127" s="166">
        <f t="shared" si="42"/>
        <v>439068.11</v>
      </c>
      <c r="E127" s="165">
        <v>0</v>
      </c>
      <c r="F127" s="165">
        <v>0</v>
      </c>
      <c r="G127" s="166">
        <f t="shared" si="43"/>
        <v>439068.11</v>
      </c>
    </row>
    <row r="128" spans="1:7" x14ac:dyDescent="0.25">
      <c r="A128" s="70" t="s">
        <v>329</v>
      </c>
      <c r="B128" s="165">
        <v>0</v>
      </c>
      <c r="C128" s="165">
        <v>1400000</v>
      </c>
      <c r="D128" s="166">
        <f t="shared" si="42"/>
        <v>1400000</v>
      </c>
      <c r="E128" s="165">
        <v>0</v>
      </c>
      <c r="F128" s="165">
        <v>0</v>
      </c>
      <c r="G128" s="166">
        <f t="shared" si="43"/>
        <v>1400000</v>
      </c>
    </row>
    <row r="129" spans="1:7" x14ac:dyDescent="0.25">
      <c r="A129" s="70" t="s">
        <v>330</v>
      </c>
      <c r="B129" s="165">
        <v>0</v>
      </c>
      <c r="C129" s="165">
        <v>1467822.99</v>
      </c>
      <c r="D129" s="166">
        <f t="shared" si="42"/>
        <v>1467822.99</v>
      </c>
      <c r="E129" s="165">
        <v>0</v>
      </c>
      <c r="F129" s="165">
        <v>0</v>
      </c>
      <c r="G129" s="166">
        <f t="shared" si="43"/>
        <v>1467822.99</v>
      </c>
    </row>
    <row r="130" spans="1:7" x14ac:dyDescent="0.25">
      <c r="A130" s="70" t="s">
        <v>331</v>
      </c>
      <c r="B130" s="165">
        <v>0</v>
      </c>
      <c r="C130" s="165">
        <v>500000</v>
      </c>
      <c r="D130" s="166">
        <f t="shared" si="42"/>
        <v>500000</v>
      </c>
      <c r="E130" s="165">
        <v>0</v>
      </c>
      <c r="F130" s="165">
        <v>0</v>
      </c>
      <c r="G130" s="166">
        <f t="shared" si="43"/>
        <v>500000</v>
      </c>
    </row>
    <row r="131" spans="1:7" x14ac:dyDescent="0.25">
      <c r="A131" s="70" t="s">
        <v>332</v>
      </c>
      <c r="B131" s="166"/>
      <c r="C131" s="166"/>
      <c r="D131" s="166">
        <f t="shared" si="42"/>
        <v>0</v>
      </c>
      <c r="E131" s="166"/>
      <c r="F131" s="166"/>
      <c r="G131" s="166">
        <f t="shared" si="43"/>
        <v>0</v>
      </c>
    </row>
    <row r="132" spans="1:7" x14ac:dyDescent="0.25">
      <c r="A132" s="70" t="s">
        <v>333</v>
      </c>
      <c r="B132" s="165">
        <v>0</v>
      </c>
      <c r="C132" s="165">
        <v>633049.12</v>
      </c>
      <c r="D132" s="166">
        <f t="shared" si="42"/>
        <v>633049.12</v>
      </c>
      <c r="E132" s="165">
        <v>0</v>
      </c>
      <c r="F132" s="165">
        <v>0</v>
      </c>
      <c r="G132" s="166">
        <f t="shared" si="43"/>
        <v>633049.12</v>
      </c>
    </row>
    <row r="133" spans="1:7" x14ac:dyDescent="0.25">
      <c r="A133" s="69" t="s">
        <v>334</v>
      </c>
      <c r="B133" s="166"/>
      <c r="C133" s="166"/>
      <c r="D133" s="166">
        <f t="shared" ref="D128:D136" si="44">B133+C133</f>
        <v>0</v>
      </c>
      <c r="E133" s="166"/>
      <c r="F133" s="166"/>
      <c r="G133" s="166">
        <f t="shared" ref="G125:G136" si="45">D133-E133</f>
        <v>0</v>
      </c>
    </row>
    <row r="134" spans="1:7" x14ac:dyDescent="0.25">
      <c r="A134" s="70" t="s">
        <v>335</v>
      </c>
      <c r="B134" s="165">
        <v>0</v>
      </c>
      <c r="C134" s="165">
        <v>93523994.920000002</v>
      </c>
      <c r="D134" s="166">
        <f t="shared" si="44"/>
        <v>93523994.920000002</v>
      </c>
      <c r="E134" s="165">
        <v>0</v>
      </c>
      <c r="F134" s="165">
        <v>0</v>
      </c>
      <c r="G134" s="166">
        <f t="shared" si="45"/>
        <v>93523994.920000002</v>
      </c>
    </row>
    <row r="135" spans="1:7" x14ac:dyDescent="0.25">
      <c r="A135" s="70" t="s">
        <v>336</v>
      </c>
      <c r="B135" s="166"/>
      <c r="C135" s="166"/>
      <c r="D135" s="166">
        <f t="shared" si="44"/>
        <v>0</v>
      </c>
      <c r="E135" s="166"/>
      <c r="F135" s="166"/>
      <c r="G135" s="166">
        <f t="shared" si="45"/>
        <v>0</v>
      </c>
    </row>
    <row r="136" spans="1:7" x14ac:dyDescent="0.25">
      <c r="A136" s="70" t="s">
        <v>337</v>
      </c>
      <c r="B136" s="166"/>
      <c r="C136" s="166"/>
      <c r="D136" s="166">
        <f t="shared" si="44"/>
        <v>0</v>
      </c>
      <c r="E136" s="166"/>
      <c r="F136" s="166"/>
      <c r="G136" s="166">
        <f t="shared" si="45"/>
        <v>0</v>
      </c>
    </row>
    <row r="137" spans="1:7" x14ac:dyDescent="0.25">
      <c r="A137" s="69" t="s">
        <v>338</v>
      </c>
      <c r="B137" s="66">
        <f>SUM(B138:B142,B144:B145)</f>
        <v>116695332.58</v>
      </c>
      <c r="C137" s="66">
        <f t="shared" ref="C137:G137" si="46">SUM(C138:C142,C144:C145)</f>
        <v>-115081758</v>
      </c>
      <c r="D137" s="66">
        <f t="shared" si="46"/>
        <v>1613574.5799999982</v>
      </c>
      <c r="E137" s="66">
        <f t="shared" si="46"/>
        <v>0</v>
      </c>
      <c r="F137" s="66">
        <f t="shared" si="46"/>
        <v>0</v>
      </c>
      <c r="G137" s="66">
        <f t="shared" si="46"/>
        <v>1613574.5799999982</v>
      </c>
    </row>
    <row r="138" spans="1:7" x14ac:dyDescent="0.25">
      <c r="A138" s="70" t="s">
        <v>339</v>
      </c>
      <c r="B138" s="166"/>
      <c r="C138" s="166"/>
      <c r="D138" s="166">
        <f t="shared" ref="D138:D145" si="47">B138+C138</f>
        <v>0</v>
      </c>
      <c r="E138" s="166"/>
      <c r="F138" s="166"/>
      <c r="G138" s="166">
        <f t="shared" ref="G138:G145" si="48">D138-E138</f>
        <v>0</v>
      </c>
    </row>
    <row r="139" spans="1:7" x14ac:dyDescent="0.25">
      <c r="A139" s="70" t="s">
        <v>340</v>
      </c>
      <c r="B139" s="166"/>
      <c r="C139" s="166"/>
      <c r="D139" s="166">
        <f t="shared" si="47"/>
        <v>0</v>
      </c>
      <c r="E139" s="166"/>
      <c r="F139" s="166"/>
      <c r="G139" s="166">
        <f t="shared" si="48"/>
        <v>0</v>
      </c>
    </row>
    <row r="140" spans="1:7" x14ac:dyDescent="0.25">
      <c r="A140" s="70" t="s">
        <v>341</v>
      </c>
      <c r="B140" s="166"/>
      <c r="C140" s="166"/>
      <c r="D140" s="166">
        <f t="shared" si="47"/>
        <v>0</v>
      </c>
      <c r="E140" s="166"/>
      <c r="F140" s="166"/>
      <c r="G140" s="166">
        <f t="shared" si="48"/>
        <v>0</v>
      </c>
    </row>
    <row r="141" spans="1:7" x14ac:dyDescent="0.25">
      <c r="A141" s="70" t="s">
        <v>342</v>
      </c>
      <c r="B141" s="166"/>
      <c r="C141" s="166"/>
      <c r="D141" s="166">
        <f t="shared" si="47"/>
        <v>0</v>
      </c>
      <c r="E141" s="166"/>
      <c r="F141" s="166"/>
      <c r="G141" s="166">
        <f t="shared" si="48"/>
        <v>0</v>
      </c>
    </row>
    <row r="142" spans="1:7" x14ac:dyDescent="0.25">
      <c r="A142" s="70" t="s">
        <v>343</v>
      </c>
      <c r="B142" s="166"/>
      <c r="C142" s="166"/>
      <c r="D142" s="166">
        <f t="shared" si="47"/>
        <v>0</v>
      </c>
      <c r="E142" s="166"/>
      <c r="F142" s="166"/>
      <c r="G142" s="166">
        <f t="shared" si="48"/>
        <v>0</v>
      </c>
    </row>
    <row r="143" spans="1:7" x14ac:dyDescent="0.25">
      <c r="A143" s="70" t="s">
        <v>3301</v>
      </c>
      <c r="B143" s="166"/>
      <c r="C143" s="166"/>
      <c r="D143" s="166">
        <f t="shared" si="47"/>
        <v>0</v>
      </c>
      <c r="E143" s="166"/>
      <c r="F143" s="166"/>
      <c r="G143" s="166">
        <f t="shared" si="48"/>
        <v>0</v>
      </c>
    </row>
    <row r="144" spans="1:7" x14ac:dyDescent="0.25">
      <c r="A144" s="70" t="s">
        <v>345</v>
      </c>
      <c r="B144" s="166"/>
      <c r="C144" s="166"/>
      <c r="D144" s="166">
        <f t="shared" si="47"/>
        <v>0</v>
      </c>
      <c r="E144" s="166"/>
      <c r="F144" s="166"/>
      <c r="G144" s="166">
        <f t="shared" si="48"/>
        <v>0</v>
      </c>
    </row>
    <row r="145" spans="1:7" x14ac:dyDescent="0.25">
      <c r="A145" s="70" t="s">
        <v>346</v>
      </c>
      <c r="B145" s="165">
        <v>116695332.58</v>
      </c>
      <c r="C145" s="165">
        <v>-115081758</v>
      </c>
      <c r="D145" s="166">
        <f t="shared" si="47"/>
        <v>1613574.5799999982</v>
      </c>
      <c r="E145" s="165">
        <v>0</v>
      </c>
      <c r="F145" s="165">
        <v>0</v>
      </c>
      <c r="G145" s="166">
        <f t="shared" si="48"/>
        <v>1613574.5799999982</v>
      </c>
    </row>
    <row r="146" spans="1:7" x14ac:dyDescent="0.25">
      <c r="A146" s="69" t="s">
        <v>347</v>
      </c>
      <c r="B146" s="66">
        <f>SUM(B147:B149)</f>
        <v>2600000</v>
      </c>
      <c r="C146" s="66">
        <f t="shared" ref="C146:G146" si="49">SUM(C147:C149)</f>
        <v>14906680.470000001</v>
      </c>
      <c r="D146" s="66">
        <f t="shared" si="49"/>
        <v>17506680.469999999</v>
      </c>
      <c r="E146" s="66">
        <f t="shared" si="49"/>
        <v>0</v>
      </c>
      <c r="F146" s="66">
        <f t="shared" si="49"/>
        <v>0</v>
      </c>
      <c r="G146" s="66">
        <f t="shared" si="49"/>
        <v>17506680.469999999</v>
      </c>
    </row>
    <row r="147" spans="1:7" x14ac:dyDescent="0.25">
      <c r="A147" s="70" t="s">
        <v>348</v>
      </c>
      <c r="B147" s="166"/>
      <c r="C147" s="166"/>
      <c r="D147" s="166">
        <f t="shared" ref="D147:D149" si="50">B147+C147</f>
        <v>0</v>
      </c>
      <c r="E147" s="166"/>
      <c r="F147" s="166"/>
      <c r="G147" s="166">
        <f t="shared" ref="G147:G149" si="51">D147-E147</f>
        <v>0</v>
      </c>
    </row>
    <row r="148" spans="1:7" x14ac:dyDescent="0.25">
      <c r="A148" s="70" t="s">
        <v>349</v>
      </c>
      <c r="B148" s="166"/>
      <c r="C148" s="166"/>
      <c r="D148" s="166">
        <f t="shared" si="50"/>
        <v>0</v>
      </c>
      <c r="E148" s="166"/>
      <c r="F148" s="166"/>
      <c r="G148" s="166">
        <f t="shared" si="51"/>
        <v>0</v>
      </c>
    </row>
    <row r="149" spans="1:7" x14ac:dyDescent="0.25">
      <c r="A149" s="70" t="s">
        <v>350</v>
      </c>
      <c r="B149" s="165">
        <v>2600000</v>
      </c>
      <c r="C149" s="165">
        <v>14906680.470000001</v>
      </c>
      <c r="D149" s="166">
        <f t="shared" si="50"/>
        <v>17506680.469999999</v>
      </c>
      <c r="E149" s="165">
        <v>0</v>
      </c>
      <c r="F149" s="165">
        <v>0</v>
      </c>
      <c r="G149" s="166">
        <f t="shared" si="51"/>
        <v>17506680.469999999</v>
      </c>
    </row>
    <row r="150" spans="1:7" x14ac:dyDescent="0.25">
      <c r="A150" s="69" t="s">
        <v>351</v>
      </c>
      <c r="B150" s="66">
        <f>SUM(B151:B157)</f>
        <v>9532944</v>
      </c>
      <c r="C150" s="66">
        <f t="shared" ref="C150:G150" si="52">SUM(C151:C157)</f>
        <v>0</v>
      </c>
      <c r="D150" s="66">
        <f t="shared" si="52"/>
        <v>9532944</v>
      </c>
      <c r="E150" s="66">
        <f t="shared" si="52"/>
        <v>4113409.04</v>
      </c>
      <c r="F150" s="66">
        <f t="shared" si="52"/>
        <v>4113409.04</v>
      </c>
      <c r="G150" s="66">
        <f t="shared" si="52"/>
        <v>5419534.96</v>
      </c>
    </row>
    <row r="151" spans="1:7" x14ac:dyDescent="0.25">
      <c r="A151" s="70" t="s">
        <v>352</v>
      </c>
      <c r="B151" s="165">
        <v>5932944</v>
      </c>
      <c r="C151" s="165">
        <v>0</v>
      </c>
      <c r="D151" s="166">
        <f t="shared" ref="D151:D157" si="53">B151+C151</f>
        <v>5932944</v>
      </c>
      <c r="E151" s="165">
        <v>2966472</v>
      </c>
      <c r="F151" s="165">
        <v>2966472</v>
      </c>
      <c r="G151" s="166">
        <f t="shared" ref="G151:G157" si="54">D151-E151</f>
        <v>2966472</v>
      </c>
    </row>
    <row r="152" spans="1:7" x14ac:dyDescent="0.25">
      <c r="A152" s="70" t="s">
        <v>353</v>
      </c>
      <c r="B152" s="165">
        <v>3600000</v>
      </c>
      <c r="C152" s="165">
        <v>0</v>
      </c>
      <c r="D152" s="166">
        <f t="shared" si="53"/>
        <v>3600000</v>
      </c>
      <c r="E152" s="165">
        <v>1146937.04</v>
      </c>
      <c r="F152" s="165">
        <v>1146937.04</v>
      </c>
      <c r="G152" s="166">
        <f t="shared" si="54"/>
        <v>2453062.96</v>
      </c>
    </row>
    <row r="153" spans="1:7" x14ac:dyDescent="0.25">
      <c r="A153" s="70" t="s">
        <v>354</v>
      </c>
      <c r="B153" s="166"/>
      <c r="C153" s="166"/>
      <c r="D153" s="166">
        <f t="shared" si="53"/>
        <v>0</v>
      </c>
      <c r="E153" s="166"/>
      <c r="F153" s="166"/>
      <c r="G153" s="166">
        <f t="shared" si="54"/>
        <v>0</v>
      </c>
    </row>
    <row r="154" spans="1:7" x14ac:dyDescent="0.25">
      <c r="A154" s="34" t="s">
        <v>355</v>
      </c>
      <c r="B154" s="166"/>
      <c r="C154" s="166"/>
      <c r="D154" s="166">
        <f t="shared" si="53"/>
        <v>0</v>
      </c>
      <c r="E154" s="166"/>
      <c r="F154" s="166"/>
      <c r="G154" s="166">
        <f t="shared" si="54"/>
        <v>0</v>
      </c>
    </row>
    <row r="155" spans="1:7" x14ac:dyDescent="0.25">
      <c r="A155" s="70" t="s">
        <v>356</v>
      </c>
      <c r="B155" s="166"/>
      <c r="C155" s="166"/>
      <c r="D155" s="166">
        <f t="shared" si="53"/>
        <v>0</v>
      </c>
      <c r="E155" s="166"/>
      <c r="F155" s="166"/>
      <c r="G155" s="166">
        <f t="shared" si="54"/>
        <v>0</v>
      </c>
    </row>
    <row r="156" spans="1:7" x14ac:dyDescent="0.25">
      <c r="A156" s="70" t="s">
        <v>357</v>
      </c>
      <c r="B156" s="166"/>
      <c r="C156" s="166"/>
      <c r="D156" s="166">
        <f t="shared" si="53"/>
        <v>0</v>
      </c>
      <c r="E156" s="166"/>
      <c r="F156" s="166"/>
      <c r="G156" s="166">
        <f t="shared" si="54"/>
        <v>0</v>
      </c>
    </row>
    <row r="157" spans="1:7" x14ac:dyDescent="0.25">
      <c r="A157" s="70" t="s">
        <v>358</v>
      </c>
      <c r="B157" s="166"/>
      <c r="C157" s="166"/>
      <c r="D157" s="166">
        <f t="shared" si="53"/>
        <v>0</v>
      </c>
      <c r="E157" s="166"/>
      <c r="F157" s="166"/>
      <c r="G157" s="166">
        <f t="shared" si="54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1042127769.3</v>
      </c>
      <c r="C159" s="65">
        <f t="shared" ref="C159:G159" si="55">C9+C84</f>
        <v>207313753.86000001</v>
      </c>
      <c r="D159" s="65">
        <f t="shared" si="55"/>
        <v>1249441523.1599998</v>
      </c>
      <c r="E159" s="65">
        <f t="shared" si="55"/>
        <v>384795141.71000004</v>
      </c>
      <c r="F159" s="65">
        <f t="shared" si="55"/>
        <v>382925800.14000005</v>
      </c>
      <c r="G159" s="65">
        <f t="shared" si="55"/>
        <v>864646381.44999993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820050120.29999995</v>
      </c>
      <c r="Q2" s="13">
        <f>'Formato 6 a)'!C9</f>
        <v>210127282.61000001</v>
      </c>
      <c r="R2" s="13">
        <f>'Formato 6 a)'!D9</f>
        <v>1030177402.91</v>
      </c>
      <c r="S2" s="13">
        <f>'Formato 6 a)'!E9</f>
        <v>338765406.32000005</v>
      </c>
      <c r="T2" s="13">
        <f>'Formato 6 a)'!F9</f>
        <v>336896064.75000006</v>
      </c>
      <c r="U2" s="13">
        <f>'Formato 6 a)'!G9</f>
        <v>691411996.58999991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163067959.82999998</v>
      </c>
      <c r="Q3" s="13">
        <f>'Formato 6 a)'!C10</f>
        <v>3261164.2199999997</v>
      </c>
      <c r="R3" s="13">
        <f>'Formato 6 a)'!D10</f>
        <v>166329124.05000001</v>
      </c>
      <c r="S3" s="13">
        <f>'Formato 6 a)'!E10</f>
        <v>77348544.700000018</v>
      </c>
      <c r="T3" s="13">
        <f>'Formato 6 a)'!F10</f>
        <v>77348544.700000018</v>
      </c>
      <c r="U3" s="13">
        <f>'Formato 6 a)'!G10</f>
        <v>88980579.349999979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137252719.96000001</v>
      </c>
      <c r="Q4" s="13">
        <f>'Formato 6 a)'!C11</f>
        <v>0</v>
      </c>
      <c r="R4" s="13">
        <f>'Formato 6 a)'!D11</f>
        <v>137252719.96000001</v>
      </c>
      <c r="S4" s="13">
        <f>'Formato 6 a)'!E11</f>
        <v>62615507.460000001</v>
      </c>
      <c r="T4" s="13">
        <f>'Formato 6 a)'!F11</f>
        <v>62615507.460000001</v>
      </c>
      <c r="U4" s="13">
        <f>'Formato 6 a)'!G11</f>
        <v>74637212.5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17921348.859999999</v>
      </c>
      <c r="Q6" s="13">
        <f>'Formato 6 a)'!C13</f>
        <v>906779.9</v>
      </c>
      <c r="R6" s="13">
        <f>'Formato 6 a)'!D13</f>
        <v>18828128.759999998</v>
      </c>
      <c r="S6" s="13">
        <f>'Formato 6 a)'!E13</f>
        <v>7714063.4699999997</v>
      </c>
      <c r="T6" s="13">
        <f>'Formato 6 a)'!F13</f>
        <v>7714063.4699999997</v>
      </c>
      <c r="U6" s="13">
        <f>'Formato 6 a)'!G13</f>
        <v>11114065.289999999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1200000</v>
      </c>
      <c r="Q7" s="13">
        <f>'Formato 6 a)'!C14</f>
        <v>0</v>
      </c>
      <c r="R7" s="13">
        <f>'Formato 6 a)'!D14</f>
        <v>1200000</v>
      </c>
      <c r="S7" s="13">
        <f>'Formato 6 a)'!E14</f>
        <v>598645.4</v>
      </c>
      <c r="T7" s="13">
        <f>'Formato 6 a)'!F14</f>
        <v>598645.4</v>
      </c>
      <c r="U7" s="13">
        <f>'Formato 6 a)'!G14</f>
        <v>601354.6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6693891.0099999998</v>
      </c>
      <c r="Q8" s="13">
        <f>'Formato 6 a)'!C15</f>
        <v>2354384.3199999998</v>
      </c>
      <c r="R8" s="13">
        <f>'Formato 6 a)'!D15</f>
        <v>9048275.3300000001</v>
      </c>
      <c r="S8" s="13">
        <f>'Formato 6 a)'!E15</f>
        <v>6420328.3700000001</v>
      </c>
      <c r="T8" s="13">
        <f>'Formato 6 a)'!F15</f>
        <v>6420328.3700000001</v>
      </c>
      <c r="U8" s="13">
        <f>'Formato 6 a)'!G15</f>
        <v>2627946.96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61621529.619999997</v>
      </c>
      <c r="Q11" s="13">
        <f>'Formato 6 a)'!C18</f>
        <v>13352027.939999999</v>
      </c>
      <c r="R11" s="13">
        <f>'Formato 6 a)'!D18</f>
        <v>74973557.560000017</v>
      </c>
      <c r="S11" s="13">
        <f>'Formato 6 a)'!E18</f>
        <v>32664170.059999999</v>
      </c>
      <c r="T11" s="13">
        <f>'Formato 6 a)'!F18</f>
        <v>31882894.639999997</v>
      </c>
      <c r="U11" s="13">
        <f>'Formato 6 a)'!G18</f>
        <v>42309387.500000007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5206232.3600000003</v>
      </c>
      <c r="Q12" s="13">
        <f>'Formato 6 a)'!C19</f>
        <v>1602301.08</v>
      </c>
      <c r="R12" s="13">
        <f>'Formato 6 a)'!D19</f>
        <v>6808533.4400000004</v>
      </c>
      <c r="S12" s="13">
        <f>'Formato 6 a)'!E19</f>
        <v>2807306.31</v>
      </c>
      <c r="T12" s="13">
        <f>'Formato 6 a)'!F19</f>
        <v>2727917.94</v>
      </c>
      <c r="U12" s="13">
        <f>'Formato 6 a)'!G19</f>
        <v>4001227.1300000004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2634362.86</v>
      </c>
      <c r="Q13" s="13">
        <f>'Formato 6 a)'!C20</f>
        <v>679415</v>
      </c>
      <c r="R13" s="13">
        <f>'Formato 6 a)'!D20</f>
        <v>3313777.86</v>
      </c>
      <c r="S13" s="13">
        <f>'Formato 6 a)'!E20</f>
        <v>1600755.08</v>
      </c>
      <c r="T13" s="13">
        <f>'Formato 6 a)'!F20</f>
        <v>1510069.58</v>
      </c>
      <c r="U13" s="13">
        <f>'Formato 6 a)'!G20</f>
        <v>1713022.7799999998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85000</v>
      </c>
      <c r="Q14" s="13">
        <f>'Formato 6 a)'!C21</f>
        <v>-77000</v>
      </c>
      <c r="R14" s="13">
        <f>'Formato 6 a)'!D21</f>
        <v>8000</v>
      </c>
      <c r="S14" s="13">
        <f>'Formato 6 a)'!E21</f>
        <v>603.89</v>
      </c>
      <c r="T14" s="13">
        <f>'Formato 6 a)'!F21</f>
        <v>603.89</v>
      </c>
      <c r="U14" s="13">
        <f>'Formato 6 a)'!G21</f>
        <v>7396.11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19423763.960000001</v>
      </c>
      <c r="Q15" s="13">
        <f>'Formato 6 a)'!C22</f>
        <v>7570773.2800000003</v>
      </c>
      <c r="R15" s="13">
        <f>'Formato 6 a)'!D22</f>
        <v>26994537.240000002</v>
      </c>
      <c r="S15" s="13">
        <f>'Formato 6 a)'!E22</f>
        <v>11789424.369999999</v>
      </c>
      <c r="T15" s="13">
        <f>'Formato 6 a)'!F22</f>
        <v>11620845.220000001</v>
      </c>
      <c r="U15" s="13">
        <f>'Formato 6 a)'!G22</f>
        <v>15205112.870000003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9247200</v>
      </c>
      <c r="Q16" s="13">
        <f>'Formato 6 a)'!C23</f>
        <v>-339014</v>
      </c>
      <c r="R16" s="13">
        <f>'Formato 6 a)'!D23</f>
        <v>8908186</v>
      </c>
      <c r="S16" s="13">
        <f>'Formato 6 a)'!E23</f>
        <v>4490441.1399999997</v>
      </c>
      <c r="T16" s="13">
        <f>'Formato 6 a)'!F23</f>
        <v>4470576.1399999997</v>
      </c>
      <c r="U16" s="13">
        <f>'Formato 6 a)'!G23</f>
        <v>4417744.8600000003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20369536.670000002</v>
      </c>
      <c r="Q17" s="13">
        <f>'Formato 6 a)'!C24</f>
        <v>330000</v>
      </c>
      <c r="R17" s="13">
        <f>'Formato 6 a)'!D24</f>
        <v>20699536.670000002</v>
      </c>
      <c r="S17" s="13">
        <f>'Formato 6 a)'!E24</f>
        <v>8169421.8499999996</v>
      </c>
      <c r="T17" s="13">
        <f>'Formato 6 a)'!F24</f>
        <v>7887994.8600000003</v>
      </c>
      <c r="U17" s="13">
        <f>'Formato 6 a)'!G24</f>
        <v>12530114.820000002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2381288.48</v>
      </c>
      <c r="Q18" s="13">
        <f>'Formato 6 a)'!C25</f>
        <v>3488042.31</v>
      </c>
      <c r="R18" s="13">
        <f>'Formato 6 a)'!D25</f>
        <v>5869330.79</v>
      </c>
      <c r="S18" s="13">
        <f>'Formato 6 a)'!E25</f>
        <v>3095890.68</v>
      </c>
      <c r="T18" s="13">
        <f>'Formato 6 a)'!F25</f>
        <v>3058886.68</v>
      </c>
      <c r="U18" s="13">
        <f>'Formato 6 a)'!G25</f>
        <v>2773440.11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526000</v>
      </c>
      <c r="Q19" s="13">
        <f>'Formato 6 a)'!C26</f>
        <v>-513000</v>
      </c>
      <c r="R19" s="13">
        <f>'Formato 6 a)'!D26</f>
        <v>13000</v>
      </c>
      <c r="S19" s="13">
        <f>'Formato 6 a)'!E26</f>
        <v>0</v>
      </c>
      <c r="T19" s="13">
        <f>'Formato 6 a)'!F26</f>
        <v>0</v>
      </c>
      <c r="U19" s="13">
        <f>'Formato 6 a)'!G26</f>
        <v>13000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1748145.29</v>
      </c>
      <c r="Q20" s="13">
        <f>'Formato 6 a)'!C27</f>
        <v>610510.27</v>
      </c>
      <c r="R20" s="13">
        <f>'Formato 6 a)'!D27</f>
        <v>2358655.56</v>
      </c>
      <c r="S20" s="13">
        <f>'Formato 6 a)'!E27</f>
        <v>710326.74</v>
      </c>
      <c r="T20" s="13">
        <f>'Formato 6 a)'!F27</f>
        <v>606000.32999999996</v>
      </c>
      <c r="U20" s="13">
        <f>'Formato 6 a)'!G27</f>
        <v>1648328.82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348582043.51000005</v>
      </c>
      <c r="Q21" s="13">
        <f>'Formato 6 a)'!C28</f>
        <v>72280886.180000007</v>
      </c>
      <c r="R21" s="13">
        <f>'Formato 6 a)'!D28</f>
        <v>420862929.69</v>
      </c>
      <c r="S21" s="13">
        <f>'Formato 6 a)'!E28</f>
        <v>162831649.56</v>
      </c>
      <c r="T21" s="13">
        <f>'Formato 6 a)'!F28</f>
        <v>162372324.43000001</v>
      </c>
      <c r="U21" s="13">
        <f>'Formato 6 a)'!G28</f>
        <v>258031280.13000005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131371676.59999999</v>
      </c>
      <c r="Q22" s="13">
        <f>'Formato 6 a)'!C29</f>
        <v>237517.38</v>
      </c>
      <c r="R22" s="13">
        <f>'Formato 6 a)'!D29</f>
        <v>131609193.97999999</v>
      </c>
      <c r="S22" s="13">
        <f>'Formato 6 a)'!E29</f>
        <v>56498014.560000002</v>
      </c>
      <c r="T22" s="13">
        <f>'Formato 6 a)'!F29</f>
        <v>56807831.420000002</v>
      </c>
      <c r="U22" s="13">
        <f>'Formato 6 a)'!G29</f>
        <v>75111179.419999987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14207000</v>
      </c>
      <c r="Q23" s="13">
        <f>'Formato 6 a)'!C30</f>
        <v>7650662.8600000003</v>
      </c>
      <c r="R23" s="13">
        <f>'Formato 6 a)'!D30</f>
        <v>21857662.859999999</v>
      </c>
      <c r="S23" s="13">
        <f>'Formato 6 a)'!E30</f>
        <v>6709608.25</v>
      </c>
      <c r="T23" s="13">
        <f>'Formato 6 a)'!F30</f>
        <v>6709608.25</v>
      </c>
      <c r="U23" s="13">
        <f>'Formato 6 a)'!G30</f>
        <v>15148054.609999999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93742159.400000006</v>
      </c>
      <c r="Q24" s="13">
        <f>'Formato 6 a)'!C31</f>
        <v>25395962.710000001</v>
      </c>
      <c r="R24" s="13">
        <f>'Formato 6 a)'!D31</f>
        <v>119138122.11000001</v>
      </c>
      <c r="S24" s="13">
        <f>'Formato 6 a)'!E31</f>
        <v>45932545.090000004</v>
      </c>
      <c r="T24" s="13">
        <f>'Formato 6 a)'!F31</f>
        <v>45813639.82</v>
      </c>
      <c r="U24" s="13">
        <f>'Formato 6 a)'!G31</f>
        <v>73205577.020000011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13508574.699999999</v>
      </c>
      <c r="Q25" s="13">
        <f>'Formato 6 a)'!C32</f>
        <v>-383788</v>
      </c>
      <c r="R25" s="13">
        <f>'Formato 6 a)'!D32</f>
        <v>13124786.699999999</v>
      </c>
      <c r="S25" s="13">
        <f>'Formato 6 a)'!E32</f>
        <v>3393473.86</v>
      </c>
      <c r="T25" s="13">
        <f>'Formato 6 a)'!F32</f>
        <v>3307716.57</v>
      </c>
      <c r="U25" s="13">
        <f>'Formato 6 a)'!G32</f>
        <v>9731312.8399999999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50543206.439999998</v>
      </c>
      <c r="Q26" s="13">
        <f>'Formato 6 a)'!C33</f>
        <v>25175583.399999999</v>
      </c>
      <c r="R26" s="13">
        <f>'Formato 6 a)'!D33</f>
        <v>75718789.840000004</v>
      </c>
      <c r="S26" s="13">
        <f>'Formato 6 a)'!E33</f>
        <v>26607686.25</v>
      </c>
      <c r="T26" s="13">
        <f>'Formato 6 a)'!F33</f>
        <v>26133230.82</v>
      </c>
      <c r="U26" s="13">
        <f>'Formato 6 a)'!G33</f>
        <v>49111103.590000004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6902530.2300000004</v>
      </c>
      <c r="Q27" s="13">
        <f>'Formato 6 a)'!C34</f>
        <v>280839.36</v>
      </c>
      <c r="R27" s="13">
        <f>'Formato 6 a)'!D34</f>
        <v>7183369.5900000008</v>
      </c>
      <c r="S27" s="13">
        <f>'Formato 6 a)'!E34</f>
        <v>3032457.04</v>
      </c>
      <c r="T27" s="13">
        <f>'Formato 6 a)'!F34</f>
        <v>2985662.64</v>
      </c>
      <c r="U27" s="13">
        <f>'Formato 6 a)'!G34</f>
        <v>4150912.5500000007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2593613.04</v>
      </c>
      <c r="Q28" s="13">
        <f>'Formato 6 a)'!C35</f>
        <v>354300</v>
      </c>
      <c r="R28" s="13">
        <f>'Formato 6 a)'!D35</f>
        <v>2947913.04</v>
      </c>
      <c r="S28" s="13">
        <f>'Formato 6 a)'!E35</f>
        <v>497444.96</v>
      </c>
      <c r="T28" s="13">
        <f>'Formato 6 a)'!F35</f>
        <v>497444.96</v>
      </c>
      <c r="U28" s="13">
        <f>'Formato 6 a)'!G35</f>
        <v>2450468.08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29162254.300000001</v>
      </c>
      <c r="Q29" s="13">
        <f>'Formato 6 a)'!C36</f>
        <v>13792808.470000001</v>
      </c>
      <c r="R29" s="13">
        <f>'Formato 6 a)'!D36</f>
        <v>42955062.770000003</v>
      </c>
      <c r="S29" s="13">
        <f>'Formato 6 a)'!E36</f>
        <v>16472729.43</v>
      </c>
      <c r="T29" s="13">
        <f>'Formato 6 a)'!F36</f>
        <v>16429499.83</v>
      </c>
      <c r="U29" s="13">
        <f>'Formato 6 a)'!G36</f>
        <v>26482333.340000004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6551028.7999999998</v>
      </c>
      <c r="Q30" s="13">
        <f>'Formato 6 a)'!C37</f>
        <v>-223000</v>
      </c>
      <c r="R30" s="13">
        <f>'Formato 6 a)'!D37</f>
        <v>6328028.7999999998</v>
      </c>
      <c r="S30" s="13">
        <f>'Formato 6 a)'!E37</f>
        <v>3687690.12</v>
      </c>
      <c r="T30" s="13">
        <f>'Formato 6 a)'!F37</f>
        <v>3687690.12</v>
      </c>
      <c r="U30" s="13">
        <f>'Formato 6 a)'!G37</f>
        <v>2640338.6799999997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110020932.03</v>
      </c>
      <c r="Q31" s="13">
        <f>'Formato 6 a)'!C38</f>
        <v>17820289.629999999</v>
      </c>
      <c r="R31" s="13">
        <f>'Formato 6 a)'!D38</f>
        <v>127841221.66</v>
      </c>
      <c r="S31" s="13">
        <f>'Formato 6 a)'!E38</f>
        <v>57861974.82</v>
      </c>
      <c r="T31" s="13">
        <f>'Formato 6 a)'!F38</f>
        <v>57233233.799999997</v>
      </c>
      <c r="U31" s="13">
        <f>'Formato 6 a)'!G38</f>
        <v>69979246.839999989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53779980.859999999</v>
      </c>
      <c r="Q32" s="13">
        <f>'Formato 6 a)'!C39</f>
        <v>0</v>
      </c>
      <c r="R32" s="13">
        <f>'Formato 6 a)'!D39</f>
        <v>53779980.859999999</v>
      </c>
      <c r="S32" s="13">
        <f>'Formato 6 a)'!E39</f>
        <v>29555902.460000001</v>
      </c>
      <c r="T32" s="13">
        <f>'Formato 6 a)'!F39</f>
        <v>29555902.460000001</v>
      </c>
      <c r="U32" s="13">
        <f>'Formato 6 a)'!G39</f>
        <v>24224078.399999999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432640</v>
      </c>
      <c r="Q34" s="13">
        <f>'Formato 6 a)'!C41</f>
        <v>0</v>
      </c>
      <c r="R34" s="13">
        <f>'Formato 6 a)'!D41</f>
        <v>432640</v>
      </c>
      <c r="S34" s="13">
        <f>'Formato 6 a)'!E41</f>
        <v>0</v>
      </c>
      <c r="T34" s="13">
        <f>'Formato 6 a)'!F41</f>
        <v>0</v>
      </c>
      <c r="U34" s="13">
        <f>'Formato 6 a)'!G41</f>
        <v>432640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47975785.670000002</v>
      </c>
      <c r="Q35" s="13">
        <f>'Formato 6 a)'!C42</f>
        <v>17820289.629999999</v>
      </c>
      <c r="R35" s="13">
        <f>'Formato 6 a)'!D42</f>
        <v>65796075.299999997</v>
      </c>
      <c r="S35" s="13">
        <f>'Formato 6 a)'!E42</f>
        <v>24113508.890000001</v>
      </c>
      <c r="T35" s="13">
        <f>'Formato 6 a)'!F42</f>
        <v>23484767.870000001</v>
      </c>
      <c r="U35" s="13">
        <f>'Formato 6 a)'!G42</f>
        <v>41682566.409999996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7832525.5</v>
      </c>
      <c r="Q36" s="13">
        <f>'Formato 6 a)'!C43</f>
        <v>0</v>
      </c>
      <c r="R36" s="13">
        <f>'Formato 6 a)'!D43</f>
        <v>7832525.5</v>
      </c>
      <c r="S36" s="13">
        <f>'Formato 6 a)'!E43</f>
        <v>4192563.47</v>
      </c>
      <c r="T36" s="13">
        <f>'Formato 6 a)'!F43</f>
        <v>4192563.47</v>
      </c>
      <c r="U36" s="13">
        <f>'Formato 6 a)'!G43</f>
        <v>3639962.03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12578835.279999997</v>
      </c>
      <c r="Q41" s="13">
        <f>'Formato 6 a)'!C48</f>
        <v>15929194.91</v>
      </c>
      <c r="R41" s="13">
        <f>'Formato 6 a)'!D48</f>
        <v>28508030.190000001</v>
      </c>
      <c r="S41" s="13">
        <f>'Formato 6 a)'!E48</f>
        <v>2780988.11</v>
      </c>
      <c r="T41" s="13">
        <f>'Formato 6 a)'!F48</f>
        <v>2780988.11</v>
      </c>
      <c r="U41" s="13">
        <f>'Formato 6 a)'!G48</f>
        <v>25727042.080000002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5286412.38</v>
      </c>
      <c r="Q42" s="13">
        <f>'Formato 6 a)'!C49</f>
        <v>1822596.72</v>
      </c>
      <c r="R42" s="13">
        <f>'Formato 6 a)'!D49</f>
        <v>7109009.0999999996</v>
      </c>
      <c r="S42" s="13">
        <f>'Formato 6 a)'!E49</f>
        <v>2556377.7000000002</v>
      </c>
      <c r="T42" s="13">
        <f>'Formato 6 a)'!F49</f>
        <v>2556377.7000000002</v>
      </c>
      <c r="U42" s="13">
        <f>'Formato 6 a)'!G49</f>
        <v>4552631.3999999994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1287000</v>
      </c>
      <c r="Q43" s="13">
        <f>'Formato 6 a)'!C50</f>
        <v>-185516.28</v>
      </c>
      <c r="R43" s="13">
        <f>'Formato 6 a)'!D50</f>
        <v>1101483.72</v>
      </c>
      <c r="S43" s="13">
        <f>'Formato 6 a)'!E50</f>
        <v>45400.01</v>
      </c>
      <c r="T43" s="13">
        <f>'Formato 6 a)'!F50</f>
        <v>45400.01</v>
      </c>
      <c r="U43" s="13">
        <f>'Formato 6 a)'!G50</f>
        <v>1056083.71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65000</v>
      </c>
      <c r="Q44" s="13">
        <f>'Formato 6 a)'!C51</f>
        <v>0</v>
      </c>
      <c r="R44" s="13">
        <f>'Formato 6 a)'!D51</f>
        <v>65000</v>
      </c>
      <c r="S44" s="13">
        <f>'Formato 6 a)'!E51</f>
        <v>0</v>
      </c>
      <c r="T44" s="13">
        <f>'Formato 6 a)'!F51</f>
        <v>0</v>
      </c>
      <c r="U44" s="13">
        <f>'Formato 6 a)'!G51</f>
        <v>65000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2630000</v>
      </c>
      <c r="Q45" s="13">
        <f>'Formato 6 a)'!C52</f>
        <v>-734000</v>
      </c>
      <c r="R45" s="13">
        <f>'Formato 6 a)'!D52</f>
        <v>1896000</v>
      </c>
      <c r="S45" s="13">
        <f>'Formato 6 a)'!E52</f>
        <v>0</v>
      </c>
      <c r="T45" s="13">
        <f>'Formato 6 a)'!F52</f>
        <v>0</v>
      </c>
      <c r="U45" s="13">
        <f>'Formato 6 a)'!G52</f>
        <v>1896000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2009569.54</v>
      </c>
      <c r="Q47" s="13">
        <f>'Formato 6 a)'!C54</f>
        <v>15432114.470000001</v>
      </c>
      <c r="R47" s="13">
        <f>'Formato 6 a)'!D54</f>
        <v>17441684.010000002</v>
      </c>
      <c r="S47" s="13">
        <f>'Formato 6 a)'!E54</f>
        <v>146210.4</v>
      </c>
      <c r="T47" s="13">
        <f>'Formato 6 a)'!F54</f>
        <v>146210.4</v>
      </c>
      <c r="U47" s="13">
        <f>'Formato 6 a)'!G54</f>
        <v>17295473.610000003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1205000</v>
      </c>
      <c r="Q48" s="13">
        <f>'Formato 6 a)'!C55</f>
        <v>-416000</v>
      </c>
      <c r="R48" s="13">
        <f>'Formato 6 a)'!D55</f>
        <v>789000</v>
      </c>
      <c r="S48" s="13">
        <f>'Formato 6 a)'!E55</f>
        <v>0</v>
      </c>
      <c r="T48" s="13">
        <f>'Formato 6 a)'!F55</f>
        <v>0</v>
      </c>
      <c r="U48" s="13">
        <f>'Formato 6 a)'!G55</f>
        <v>789000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95853.36</v>
      </c>
      <c r="Q50" s="13">
        <f>'Formato 6 a)'!C57</f>
        <v>10000</v>
      </c>
      <c r="R50" s="13">
        <f>'Formato 6 a)'!D57</f>
        <v>105853.36</v>
      </c>
      <c r="S50" s="13">
        <f>'Formato 6 a)'!E57</f>
        <v>33000</v>
      </c>
      <c r="T50" s="13">
        <f>'Formato 6 a)'!F57</f>
        <v>33000</v>
      </c>
      <c r="U50" s="13">
        <f>'Formato 6 a)'!G57</f>
        <v>72853.36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82988793.109999999</v>
      </c>
      <c r="R51" s="13">
        <f>'Formato 6 a)'!D58</f>
        <v>82988793.109999999</v>
      </c>
      <c r="S51" s="13">
        <f>'Formato 6 a)'!E58</f>
        <v>3792036.32</v>
      </c>
      <c r="T51" s="13">
        <f>'Formato 6 a)'!F58</f>
        <v>3792036.32</v>
      </c>
      <c r="U51" s="13">
        <f>'Formato 6 a)'!G58</f>
        <v>79196756.789999992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71801230</v>
      </c>
      <c r="R52" s="13">
        <f>'Formato 6 a)'!D59</f>
        <v>71801230</v>
      </c>
      <c r="S52" s="13">
        <f>'Formato 6 a)'!E59</f>
        <v>4776.79</v>
      </c>
      <c r="T52" s="13">
        <f>'Formato 6 a)'!F59</f>
        <v>4776.79</v>
      </c>
      <c r="U52" s="13">
        <f>'Formato 6 a)'!G59</f>
        <v>71796453.209999993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11187563.109999999</v>
      </c>
      <c r="R53" s="13">
        <f>'Formato 6 a)'!D60</f>
        <v>11187563.109999999</v>
      </c>
      <c r="S53" s="13">
        <f>'Formato 6 a)'!E60</f>
        <v>3787259.53</v>
      </c>
      <c r="T53" s="13">
        <f>'Formato 6 a)'!F60</f>
        <v>3787259.53</v>
      </c>
      <c r="U53" s="13">
        <f>'Formato 6 a)'!G60</f>
        <v>7400303.5800000001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102888949.86</v>
      </c>
      <c r="Q55" s="13">
        <f>'Formato 6 a)'!C62</f>
        <v>-2248785.37</v>
      </c>
      <c r="R55" s="13">
        <f>'Formato 6 a)'!D62</f>
        <v>100640164.48999999</v>
      </c>
      <c r="S55" s="13">
        <f>'Formato 6 a)'!E62</f>
        <v>0</v>
      </c>
      <c r="T55" s="13">
        <f>'Formato 6 a)'!F62</f>
        <v>0</v>
      </c>
      <c r="U55" s="13">
        <f>'Formato 6 a)'!G62</f>
        <v>100640164.48999999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102888949.86</v>
      </c>
      <c r="Q63" s="13">
        <f>'Formato 6 a)'!C70</f>
        <v>-2248785.37</v>
      </c>
      <c r="R63" s="13">
        <f>'Formato 6 a)'!D70</f>
        <v>100640164.48999999</v>
      </c>
      <c r="S63" s="13">
        <f>'Formato 6 a)'!E70</f>
        <v>0</v>
      </c>
      <c r="T63" s="13">
        <f>'Formato 6 a)'!F70</f>
        <v>0</v>
      </c>
      <c r="U63" s="13">
        <f>'Formato 6 a)'!G70</f>
        <v>100640164.48999999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5100000</v>
      </c>
      <c r="Q64" s="13">
        <f>'Formato 6 a)'!C71</f>
        <v>6743711.9900000002</v>
      </c>
      <c r="R64" s="13">
        <f>'Formato 6 a)'!D71</f>
        <v>11843711.99</v>
      </c>
      <c r="S64" s="13">
        <f>'Formato 6 a)'!E71</f>
        <v>1486042.75</v>
      </c>
      <c r="T64" s="13">
        <f>'Formato 6 a)'!F71</f>
        <v>1486042.75</v>
      </c>
      <c r="U64" s="13">
        <f>'Formato 6 a)'!G71</f>
        <v>10357669.24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5100000</v>
      </c>
      <c r="Q67" s="13">
        <f>'Formato 6 a)'!C74</f>
        <v>6743711.9900000002</v>
      </c>
      <c r="R67" s="13">
        <f>'Formato 6 a)'!D74</f>
        <v>11843711.99</v>
      </c>
      <c r="S67" s="13">
        <f>'Formato 6 a)'!E74</f>
        <v>1486042.75</v>
      </c>
      <c r="T67" s="13">
        <f>'Formato 6 a)'!F74</f>
        <v>1486042.75</v>
      </c>
      <c r="U67" s="13">
        <f>'Formato 6 a)'!G74</f>
        <v>10357669.24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16189870.170000002</v>
      </c>
      <c r="Q68" s="13">
        <f>'Formato 6 a)'!C75</f>
        <v>0</v>
      </c>
      <c r="R68" s="13">
        <f>'Formato 6 a)'!D75</f>
        <v>16189870.170000002</v>
      </c>
      <c r="S68" s="13">
        <f>'Formato 6 a)'!E75</f>
        <v>0</v>
      </c>
      <c r="T68" s="13">
        <f>'Formato 6 a)'!F75</f>
        <v>0</v>
      </c>
      <c r="U68" s="13">
        <f>'Formato 6 a)'!G75</f>
        <v>16189870.170000002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6657061.1200000001</v>
      </c>
      <c r="Q69" s="13">
        <f>'Formato 6 a)'!C76</f>
        <v>0</v>
      </c>
      <c r="R69" s="13">
        <f>'Formato 6 a)'!D76</f>
        <v>6657061.1200000001</v>
      </c>
      <c r="S69" s="13">
        <f>'Formato 6 a)'!E76</f>
        <v>0</v>
      </c>
      <c r="T69" s="13">
        <f>'Formato 6 a)'!F76</f>
        <v>0</v>
      </c>
      <c r="U69" s="13">
        <f>'Formato 6 a)'!G76</f>
        <v>6657061.1200000001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9532809.0500000007</v>
      </c>
      <c r="Q70" s="13">
        <f>'Formato 6 a)'!C77</f>
        <v>0</v>
      </c>
      <c r="R70" s="13">
        <f>'Formato 6 a)'!D77</f>
        <v>9532809.0500000007</v>
      </c>
      <c r="S70" s="13">
        <f>'Formato 6 a)'!E77</f>
        <v>0</v>
      </c>
      <c r="T70" s="13">
        <f>'Formato 6 a)'!F77</f>
        <v>0</v>
      </c>
      <c r="U70" s="13">
        <f>'Formato 6 a)'!G77</f>
        <v>9532809.0500000007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222077649</v>
      </c>
      <c r="Q76">
        <f>'Formato 6 a)'!C84</f>
        <v>-2813528.7499999981</v>
      </c>
      <c r="R76">
        <f>'Formato 6 a)'!D84</f>
        <v>219264120.24999997</v>
      </c>
      <c r="S76">
        <f>'Formato 6 a)'!E84</f>
        <v>46029735.389999993</v>
      </c>
      <c r="T76">
        <f>'Formato 6 a)'!F84</f>
        <v>46029735.389999993</v>
      </c>
      <c r="U76">
        <f>'Formato 6 a)'!G84</f>
        <v>173234384.86000001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84927750.820000008</v>
      </c>
      <c r="Q77">
        <f>'Formato 6 a)'!C85</f>
        <v>0</v>
      </c>
      <c r="R77">
        <f>'Formato 6 a)'!D85</f>
        <v>84927750.820000008</v>
      </c>
      <c r="S77">
        <f>'Formato 6 a)'!E85</f>
        <v>37985897.209999993</v>
      </c>
      <c r="T77">
        <f>'Formato 6 a)'!F85</f>
        <v>37985897.209999993</v>
      </c>
      <c r="U77">
        <f>'Formato 6 a)'!G85</f>
        <v>46941853.610000007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71771689.870000005</v>
      </c>
      <c r="Q78">
        <f>'Formato 6 a)'!C86</f>
        <v>0</v>
      </c>
      <c r="R78">
        <f>'Formato 6 a)'!D86</f>
        <v>71771689.870000005</v>
      </c>
      <c r="S78">
        <f>'Formato 6 a)'!E86</f>
        <v>32137633.199999999</v>
      </c>
      <c r="T78">
        <f>'Formato 6 a)'!F86</f>
        <v>32137633.199999999</v>
      </c>
      <c r="U78">
        <f>'Formato 6 a)'!G86</f>
        <v>39634056.670000002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9070048.7300000004</v>
      </c>
      <c r="Q80">
        <f>'Formato 6 a)'!C88</f>
        <v>0</v>
      </c>
      <c r="R80">
        <f>'Formato 6 a)'!D88</f>
        <v>9070048.7300000004</v>
      </c>
      <c r="S80">
        <f>'Formato 6 a)'!E88</f>
        <v>3683369.1</v>
      </c>
      <c r="T80">
        <f>'Formato 6 a)'!F88</f>
        <v>3683369.1</v>
      </c>
      <c r="U80">
        <f>'Formato 6 a)'!G88</f>
        <v>5386679.6300000008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4086012.22</v>
      </c>
      <c r="Q82">
        <f>'Formato 6 a)'!C90</f>
        <v>0</v>
      </c>
      <c r="R82">
        <f>'Formato 6 a)'!D90</f>
        <v>4086012.22</v>
      </c>
      <c r="S82">
        <f>'Formato 6 a)'!E90</f>
        <v>2164894.91</v>
      </c>
      <c r="T82">
        <f>'Formato 6 a)'!F90</f>
        <v>2164894.91</v>
      </c>
      <c r="U82">
        <f>'Formato 6 a)'!G90</f>
        <v>1921117.31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5321621.5999999996</v>
      </c>
      <c r="Q85">
        <f>'Formato 6 a)'!C93</f>
        <v>4561356.8900000006</v>
      </c>
      <c r="R85">
        <f>'Formato 6 a)'!D93</f>
        <v>9882978.4900000002</v>
      </c>
      <c r="S85">
        <f>'Formato 6 a)'!E93</f>
        <v>2679061.4</v>
      </c>
      <c r="T85">
        <f>'Formato 6 a)'!F93</f>
        <v>2679061.4</v>
      </c>
      <c r="U85">
        <f>'Formato 6 a)'!G93</f>
        <v>7203917.0899999999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993543.69</v>
      </c>
      <c r="R86">
        <f>'Formato 6 a)'!D94</f>
        <v>993543.69</v>
      </c>
      <c r="S86">
        <f>'Formato 6 a)'!E94</f>
        <v>0</v>
      </c>
      <c r="T86">
        <f>'Formato 6 a)'!F94</f>
        <v>0</v>
      </c>
      <c r="U86">
        <f>'Formato 6 a)'!G94</f>
        <v>993543.69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100000</v>
      </c>
      <c r="R88">
        <f>'Formato 6 a)'!D96</f>
        <v>100000</v>
      </c>
      <c r="S88">
        <f>'Formato 6 a)'!E96</f>
        <v>0</v>
      </c>
      <c r="T88">
        <f>'Formato 6 a)'!F96</f>
        <v>0</v>
      </c>
      <c r="U88">
        <f>'Formato 6 a)'!G96</f>
        <v>100000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5321621.5999999996</v>
      </c>
      <c r="Q91">
        <f>'Formato 6 a)'!C99</f>
        <v>500000</v>
      </c>
      <c r="R91">
        <f>'Formato 6 a)'!D99</f>
        <v>5821621.5999999996</v>
      </c>
      <c r="S91">
        <f>'Formato 6 a)'!E99</f>
        <v>2679061.4</v>
      </c>
      <c r="T91">
        <f>'Formato 6 a)'!F99</f>
        <v>2679061.4</v>
      </c>
      <c r="U91">
        <f>'Formato 6 a)'!G99</f>
        <v>3142560.1999999997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2676289.96</v>
      </c>
      <c r="R92">
        <f>'Formato 6 a)'!D100</f>
        <v>2676289.96</v>
      </c>
      <c r="S92">
        <f>'Formato 6 a)'!E100</f>
        <v>0</v>
      </c>
      <c r="T92">
        <f>'Formato 6 a)'!F100</f>
        <v>0</v>
      </c>
      <c r="U92">
        <f>'Formato 6 a)'!G100</f>
        <v>2676289.96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291523.24</v>
      </c>
      <c r="R94">
        <f>'Formato 6 a)'!D102</f>
        <v>291523.24</v>
      </c>
      <c r="S94">
        <f>'Formato 6 a)'!E102</f>
        <v>0</v>
      </c>
      <c r="T94">
        <f>'Formato 6 a)'!F102</f>
        <v>0</v>
      </c>
      <c r="U94">
        <f>'Formato 6 a)'!G102</f>
        <v>291523.24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3000000</v>
      </c>
      <c r="Q95">
        <f>'Formato 6 a)'!C103</f>
        <v>11499787.310000001</v>
      </c>
      <c r="R95">
        <f>'Formato 6 a)'!D103</f>
        <v>14499787.310000001</v>
      </c>
      <c r="S95">
        <f>'Formato 6 a)'!E103</f>
        <v>1251367.74</v>
      </c>
      <c r="T95">
        <f>'Formato 6 a)'!F103</f>
        <v>1251367.74</v>
      </c>
      <c r="U95">
        <f>'Formato 6 a)'!G103</f>
        <v>13248419.569999998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9474181.3399999999</v>
      </c>
      <c r="R98">
        <f>'Formato 6 a)'!D106</f>
        <v>9474181.3399999999</v>
      </c>
      <c r="S98">
        <f>'Formato 6 a)'!E106</f>
        <v>0</v>
      </c>
      <c r="T98">
        <f>'Formato 6 a)'!F106</f>
        <v>0</v>
      </c>
      <c r="U98">
        <f>'Formato 6 a)'!G106</f>
        <v>9474181.3399999999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3000000</v>
      </c>
      <c r="Q100">
        <f>'Formato 6 a)'!C108</f>
        <v>1598967.96</v>
      </c>
      <c r="R100">
        <f>'Formato 6 a)'!D108</f>
        <v>4598967.96</v>
      </c>
      <c r="S100">
        <f>'Formato 6 a)'!E108</f>
        <v>1251367.74</v>
      </c>
      <c r="T100">
        <f>'Formato 6 a)'!F108</f>
        <v>1251367.74</v>
      </c>
      <c r="U100">
        <f>'Formato 6 a)'!G108</f>
        <v>3347600.2199999997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48000</v>
      </c>
      <c r="R102">
        <f>'Formato 6 a)'!D110</f>
        <v>48000</v>
      </c>
      <c r="S102">
        <f>'Formato 6 a)'!E110</f>
        <v>0</v>
      </c>
      <c r="T102">
        <f>'Formato 6 a)'!F110</f>
        <v>0</v>
      </c>
      <c r="U102">
        <f>'Formato 6 a)'!G110</f>
        <v>48000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378638.01</v>
      </c>
      <c r="R104">
        <f>'Formato 6 a)'!D112</f>
        <v>378638.01</v>
      </c>
      <c r="S104">
        <f>'Formato 6 a)'!E112</f>
        <v>0</v>
      </c>
      <c r="T104">
        <f>'Formato 6 a)'!F112</f>
        <v>0</v>
      </c>
      <c r="U104">
        <f>'Formato 6 a)'!G112</f>
        <v>378638.01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68280912.269999996</v>
      </c>
      <c r="R105">
        <f>'Formato 6 a)'!D113</f>
        <v>68280912.269999996</v>
      </c>
      <c r="S105">
        <f>'Formato 6 a)'!E113</f>
        <v>0</v>
      </c>
      <c r="T105">
        <f>'Formato 6 a)'!F113</f>
        <v>0</v>
      </c>
      <c r="U105">
        <f>'Formato 6 a)'!G113</f>
        <v>68280912.269999996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68280912.269999996</v>
      </c>
      <c r="R109">
        <f>'Formato 6 a)'!D117</f>
        <v>68280912.269999996</v>
      </c>
      <c r="S109">
        <f>'Formato 6 a)'!E117</f>
        <v>0</v>
      </c>
      <c r="T109">
        <f>'Formato 6 a)'!F117</f>
        <v>0</v>
      </c>
      <c r="U109">
        <f>'Formato 6 a)'!G117</f>
        <v>68280912.269999996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13019492.309999999</v>
      </c>
      <c r="R115">
        <f>'Formato 6 a)'!D123</f>
        <v>13019492.309999999</v>
      </c>
      <c r="S115">
        <f>'Formato 6 a)'!E123</f>
        <v>0</v>
      </c>
      <c r="T115">
        <f>'Formato 6 a)'!F123</f>
        <v>0</v>
      </c>
      <c r="U115">
        <f>'Formato 6 a)'!G123</f>
        <v>13019492.309999999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6998880.9299999997</v>
      </c>
      <c r="R116">
        <f>'Formato 6 a)'!D124</f>
        <v>6998880.9299999997</v>
      </c>
      <c r="S116">
        <f>'Formato 6 a)'!E124</f>
        <v>0</v>
      </c>
      <c r="T116">
        <f>'Formato 6 a)'!F124</f>
        <v>0</v>
      </c>
      <c r="U116">
        <f>'Formato 6 a)'!G124</f>
        <v>6998880.9299999997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1580671.16</v>
      </c>
      <c r="R117">
        <f>'Formato 6 a)'!D125</f>
        <v>1580671.16</v>
      </c>
      <c r="S117">
        <f>'Formato 6 a)'!E125</f>
        <v>0</v>
      </c>
      <c r="T117">
        <f>'Formato 6 a)'!F125</f>
        <v>0</v>
      </c>
      <c r="U117">
        <f>'Formato 6 a)'!G125</f>
        <v>1580671.16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439068.11</v>
      </c>
      <c r="R119">
        <f>'Formato 6 a)'!D127</f>
        <v>439068.11</v>
      </c>
      <c r="S119">
        <f>'Formato 6 a)'!E127</f>
        <v>0</v>
      </c>
      <c r="T119">
        <f>'Formato 6 a)'!F127</f>
        <v>0</v>
      </c>
      <c r="U119">
        <f>'Formato 6 a)'!G127</f>
        <v>439068.11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1400000</v>
      </c>
      <c r="R120">
        <f>'Formato 6 a)'!D128</f>
        <v>1400000</v>
      </c>
      <c r="S120">
        <f>'Formato 6 a)'!E128</f>
        <v>0</v>
      </c>
      <c r="T120">
        <f>'Formato 6 a)'!F128</f>
        <v>0</v>
      </c>
      <c r="U120">
        <f>'Formato 6 a)'!G128</f>
        <v>1400000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1467822.99</v>
      </c>
      <c r="R121">
        <f>'Formato 6 a)'!D129</f>
        <v>1467822.99</v>
      </c>
      <c r="S121">
        <f>'Formato 6 a)'!E129</f>
        <v>0</v>
      </c>
      <c r="T121">
        <f>'Formato 6 a)'!F129</f>
        <v>0</v>
      </c>
      <c r="U121">
        <f>'Formato 6 a)'!G129</f>
        <v>1467822.99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500000</v>
      </c>
      <c r="R122">
        <f>'Formato 6 a)'!D130</f>
        <v>500000</v>
      </c>
      <c r="S122">
        <f>'Formato 6 a)'!E130</f>
        <v>0</v>
      </c>
      <c r="T122">
        <f>'Formato 6 a)'!F130</f>
        <v>0</v>
      </c>
      <c r="U122">
        <f>'Formato 6 a)'!G130</f>
        <v>500000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633049.12</v>
      </c>
      <c r="R124">
        <f>'Formato 6 a)'!D132</f>
        <v>633049.12</v>
      </c>
      <c r="S124">
        <f>'Formato 6 a)'!E132</f>
        <v>0</v>
      </c>
      <c r="T124">
        <f>'Formato 6 a)'!F132</f>
        <v>0</v>
      </c>
      <c r="U124">
        <f>'Formato 6 a)'!G132</f>
        <v>633049.12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93523994.920000002</v>
      </c>
      <c r="R126">
        <f>'Formato 6 a)'!D134</f>
        <v>93523994.920000002</v>
      </c>
      <c r="S126">
        <f>'Formato 6 a)'!E134</f>
        <v>0</v>
      </c>
      <c r="T126">
        <f>'Formato 6 a)'!F134</f>
        <v>0</v>
      </c>
      <c r="U126">
        <f>'Formato 6 a)'!G134</f>
        <v>93523994.920000002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116695332.58</v>
      </c>
      <c r="Q129">
        <f>'Formato 6 a)'!C137</f>
        <v>-115081758</v>
      </c>
      <c r="R129">
        <f>'Formato 6 a)'!D137</f>
        <v>1613574.5799999982</v>
      </c>
      <c r="S129">
        <f>'Formato 6 a)'!E137</f>
        <v>0</v>
      </c>
      <c r="T129">
        <f>'Formato 6 a)'!F137</f>
        <v>0</v>
      </c>
      <c r="U129">
        <f>'Formato 6 a)'!G137</f>
        <v>1613574.5799999982</v>
      </c>
    </row>
    <row r="130" spans="1:21" ht="14.25" x14ac:dyDescent="0.4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116695332.58</v>
      </c>
      <c r="Q137">
        <f>'Formato 6 a)'!C145</f>
        <v>-115081758</v>
      </c>
      <c r="R137">
        <f>'Formato 6 a)'!D145</f>
        <v>1613574.5799999982</v>
      </c>
      <c r="S137">
        <f>'Formato 6 a)'!E145</f>
        <v>0</v>
      </c>
      <c r="T137">
        <f>'Formato 6 a)'!F145</f>
        <v>0</v>
      </c>
      <c r="U137">
        <f>'Formato 6 a)'!G145</f>
        <v>1613574.5799999982</v>
      </c>
    </row>
    <row r="138" spans="1:21" ht="14.25" x14ac:dyDescent="0.4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2600000</v>
      </c>
      <c r="Q138">
        <f>'Formato 6 a)'!C146</f>
        <v>14906680.470000001</v>
      </c>
      <c r="R138">
        <f>'Formato 6 a)'!D146</f>
        <v>17506680.469999999</v>
      </c>
      <c r="S138">
        <f>'Formato 6 a)'!E146</f>
        <v>0</v>
      </c>
      <c r="T138">
        <f>'Formato 6 a)'!F146</f>
        <v>0</v>
      </c>
      <c r="U138">
        <f>'Formato 6 a)'!G146</f>
        <v>17506680.469999999</v>
      </c>
    </row>
    <row r="139" spans="1:21" ht="14.25" x14ac:dyDescent="0.4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2600000</v>
      </c>
      <c r="Q141">
        <f>'Formato 6 a)'!C149</f>
        <v>14906680.470000001</v>
      </c>
      <c r="R141">
        <f>'Formato 6 a)'!D149</f>
        <v>17506680.469999999</v>
      </c>
      <c r="S141">
        <f>'Formato 6 a)'!E149</f>
        <v>0</v>
      </c>
      <c r="T141">
        <f>'Formato 6 a)'!F149</f>
        <v>0</v>
      </c>
      <c r="U141">
        <f>'Formato 6 a)'!G149</f>
        <v>17506680.469999999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9532944</v>
      </c>
      <c r="Q142">
        <f>'Formato 6 a)'!C150</f>
        <v>0</v>
      </c>
      <c r="R142">
        <f>'Formato 6 a)'!D150</f>
        <v>9532944</v>
      </c>
      <c r="S142">
        <f>'Formato 6 a)'!E150</f>
        <v>4113409.04</v>
      </c>
      <c r="T142">
        <f>'Formato 6 a)'!F150</f>
        <v>4113409.04</v>
      </c>
      <c r="U142">
        <f>'Formato 6 a)'!G150</f>
        <v>5419534.96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5932944</v>
      </c>
      <c r="Q143">
        <f>'Formato 6 a)'!C151</f>
        <v>0</v>
      </c>
      <c r="R143">
        <f>'Formato 6 a)'!D151</f>
        <v>5932944</v>
      </c>
      <c r="S143">
        <f>'Formato 6 a)'!E151</f>
        <v>2966472</v>
      </c>
      <c r="T143">
        <f>'Formato 6 a)'!F151</f>
        <v>2966472</v>
      </c>
      <c r="U143">
        <f>'Formato 6 a)'!G151</f>
        <v>2966472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3600000</v>
      </c>
      <c r="Q144">
        <f>'Formato 6 a)'!C152</f>
        <v>0</v>
      </c>
      <c r="R144">
        <f>'Formato 6 a)'!D152</f>
        <v>3600000</v>
      </c>
      <c r="S144">
        <f>'Formato 6 a)'!E152</f>
        <v>1146937.04</v>
      </c>
      <c r="T144">
        <f>'Formato 6 a)'!F152</f>
        <v>1146937.04</v>
      </c>
      <c r="U144">
        <f>'Formato 6 a)'!G152</f>
        <v>2453062.96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1042127769.3</v>
      </c>
      <c r="Q150">
        <f>'Formato 6 a)'!C159</f>
        <v>207313753.86000001</v>
      </c>
      <c r="R150">
        <f>'Formato 6 a)'!D159</f>
        <v>1249441523.1599998</v>
      </c>
      <c r="S150">
        <f>'Formato 6 a)'!E159</f>
        <v>384795141.71000004</v>
      </c>
      <c r="T150">
        <f>'Formato 6 a)'!F159</f>
        <v>382925800.14000005</v>
      </c>
      <c r="U150">
        <f>'Formato 6 a)'!G159</f>
        <v>864646381.44999993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B20" sqref="B20:G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2" t="s">
        <v>3290</v>
      </c>
      <c r="B1" s="142"/>
      <c r="C1" s="142"/>
      <c r="D1" s="142"/>
      <c r="E1" s="142"/>
      <c r="F1" s="142"/>
      <c r="G1" s="142"/>
    </row>
    <row r="2" spans="1:7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431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junio de 2019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0</v>
      </c>
      <c r="B7" s="140" t="s">
        <v>279</v>
      </c>
      <c r="C7" s="140"/>
      <c r="D7" s="140"/>
      <c r="E7" s="140"/>
      <c r="F7" s="140"/>
      <c r="G7" s="144" t="s">
        <v>280</v>
      </c>
    </row>
    <row r="8" spans="1:7" ht="30" x14ac:dyDescent="0.25">
      <c r="A8" s="13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3"/>
    </row>
    <row r="9" spans="1:7" ht="14.25" x14ac:dyDescent="0.45">
      <c r="A9" s="44" t="s">
        <v>440</v>
      </c>
      <c r="B9" s="28">
        <f>SUM(B10:GASTO_NE_FIN_01)</f>
        <v>820050120.30000007</v>
      </c>
      <c r="C9" s="28">
        <f>SUM(C10:GASTO_NE_FIN_02)</f>
        <v>210127282.61000001</v>
      </c>
      <c r="D9" s="28">
        <f>SUM(D10:GASTO_NE_FIN_03)</f>
        <v>1030177402.9100001</v>
      </c>
      <c r="E9" s="28">
        <f>SUM(E10:GASTO_NE_FIN_04)</f>
        <v>338765406.31999999</v>
      </c>
      <c r="F9" s="28">
        <f>SUM(F10:GASTO_NE_FIN_05)</f>
        <v>336896064.75</v>
      </c>
      <c r="G9" s="28">
        <f>SUM(G10:GASTO_NE_FIN_06)</f>
        <v>691411996.59000003</v>
      </c>
    </row>
    <row r="10" spans="1:7" s="18" customFormat="1" x14ac:dyDescent="0.25">
      <c r="A10" s="117" t="s">
        <v>432</v>
      </c>
      <c r="B10" s="163">
        <v>766270139.44000006</v>
      </c>
      <c r="C10" s="163">
        <v>0</v>
      </c>
      <c r="D10" s="164">
        <f>B10+C10</f>
        <v>766270139.44000006</v>
      </c>
      <c r="E10" s="163">
        <v>309209503.86000001</v>
      </c>
      <c r="F10" s="163">
        <v>307340162.29000002</v>
      </c>
      <c r="G10" s="164">
        <f>D10-E10</f>
        <v>457060635.58000004</v>
      </c>
    </row>
    <row r="11" spans="1:7" s="18" customFormat="1" x14ac:dyDescent="0.25">
      <c r="A11" s="117" t="s">
        <v>433</v>
      </c>
      <c r="B11" s="163">
        <v>53779980.859999999</v>
      </c>
      <c r="C11" s="163">
        <v>0</v>
      </c>
      <c r="D11" s="164">
        <f t="shared" ref="D11:D17" si="0">B11+C11</f>
        <v>53779980.859999999</v>
      </c>
      <c r="E11" s="163">
        <v>29555902.460000001</v>
      </c>
      <c r="F11" s="163">
        <v>29555902.460000001</v>
      </c>
      <c r="G11" s="164">
        <f t="shared" ref="G11:G17" si="1">D11-E11</f>
        <v>24224078.399999999</v>
      </c>
    </row>
    <row r="12" spans="1:7" s="18" customFormat="1" x14ac:dyDescent="0.25">
      <c r="A12" s="117" t="s">
        <v>434</v>
      </c>
      <c r="B12" s="163">
        <v>0</v>
      </c>
      <c r="C12" s="163">
        <v>210127282.61000001</v>
      </c>
      <c r="D12" s="164">
        <f t="shared" si="0"/>
        <v>210127282.61000001</v>
      </c>
      <c r="E12" s="163">
        <v>0</v>
      </c>
      <c r="F12" s="163">
        <v>0</v>
      </c>
      <c r="G12" s="164">
        <f t="shared" si="1"/>
        <v>210127282.61000001</v>
      </c>
    </row>
    <row r="13" spans="1:7" s="18" customFormat="1" x14ac:dyDescent="0.25">
      <c r="A13" s="117" t="s">
        <v>435</v>
      </c>
      <c r="B13" s="163">
        <v>0</v>
      </c>
      <c r="C13" s="163">
        <v>0</v>
      </c>
      <c r="D13" s="164">
        <f t="shared" si="0"/>
        <v>0</v>
      </c>
      <c r="E13" s="163">
        <v>0</v>
      </c>
      <c r="F13" s="163">
        <v>0</v>
      </c>
      <c r="G13" s="164">
        <f t="shared" si="1"/>
        <v>0</v>
      </c>
    </row>
    <row r="14" spans="1:7" s="18" customFormat="1" x14ac:dyDescent="0.25">
      <c r="A14" s="117" t="s">
        <v>436</v>
      </c>
      <c r="B14" s="164"/>
      <c r="C14" s="164"/>
      <c r="D14" s="164">
        <f t="shared" si="0"/>
        <v>0</v>
      </c>
      <c r="E14" s="164"/>
      <c r="F14" s="164"/>
      <c r="G14" s="164">
        <f t="shared" si="1"/>
        <v>0</v>
      </c>
    </row>
    <row r="15" spans="1:7" s="18" customFormat="1" x14ac:dyDescent="0.25">
      <c r="A15" s="117" t="s">
        <v>437</v>
      </c>
      <c r="B15" s="164"/>
      <c r="C15" s="164"/>
      <c r="D15" s="164">
        <f t="shared" si="0"/>
        <v>0</v>
      </c>
      <c r="E15" s="164"/>
      <c r="F15" s="164"/>
      <c r="G15" s="164">
        <f t="shared" si="1"/>
        <v>0</v>
      </c>
    </row>
    <row r="16" spans="1:7" s="18" customFormat="1" x14ac:dyDescent="0.25">
      <c r="A16" s="117" t="s">
        <v>438</v>
      </c>
      <c r="B16" s="164"/>
      <c r="C16" s="164"/>
      <c r="D16" s="164">
        <f t="shared" si="0"/>
        <v>0</v>
      </c>
      <c r="E16" s="164"/>
      <c r="F16" s="164"/>
      <c r="G16" s="164">
        <f t="shared" si="1"/>
        <v>0</v>
      </c>
    </row>
    <row r="17" spans="1:7" s="18" customFormat="1" x14ac:dyDescent="0.25">
      <c r="A17" s="117" t="s">
        <v>439</v>
      </c>
      <c r="B17" s="164"/>
      <c r="C17" s="164"/>
      <c r="D17" s="164">
        <f t="shared" si="0"/>
        <v>0</v>
      </c>
      <c r="E17" s="164"/>
      <c r="F17" s="164"/>
      <c r="G17" s="164">
        <f t="shared" si="1"/>
        <v>0</v>
      </c>
    </row>
    <row r="18" spans="1:7" ht="14.25" x14ac:dyDescent="0.4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ht="14.25" x14ac:dyDescent="0.45">
      <c r="A19" s="47" t="s">
        <v>441</v>
      </c>
      <c r="B19" s="51">
        <f>SUM(B20:GASTO_E_FIN_01)</f>
        <v>222077649</v>
      </c>
      <c r="C19" s="51">
        <f>SUM(C20:GASTO_E_FIN_02)</f>
        <v>90710466.170000002</v>
      </c>
      <c r="D19" s="51">
        <f>SUM(D20:GASTO_E_FIN_03)</f>
        <v>312788115.17000002</v>
      </c>
      <c r="E19" s="51">
        <f>SUM(E20:GASTO_E_FIN_04)</f>
        <v>46029735.390000001</v>
      </c>
      <c r="F19" s="51">
        <f>SUM(F20:GASTO_E_FIN_05)</f>
        <v>0</v>
      </c>
      <c r="G19" s="51">
        <f>SUM(G20:GASTO_E_FIN_06)</f>
        <v>266758379.78000003</v>
      </c>
    </row>
    <row r="20" spans="1:7" s="18" customFormat="1" x14ac:dyDescent="0.25">
      <c r="A20" s="117" t="s">
        <v>432</v>
      </c>
      <c r="B20" s="163">
        <v>222077649</v>
      </c>
      <c r="C20" s="163">
        <v>90710466.170000002</v>
      </c>
      <c r="D20" s="164">
        <f t="shared" ref="D20:D27" si="2">B20+C20</f>
        <v>312788115.17000002</v>
      </c>
      <c r="E20" s="163">
        <v>46029735.390000001</v>
      </c>
      <c r="F20" s="163">
        <v>0</v>
      </c>
      <c r="G20" s="164">
        <f t="shared" ref="G20:G27" si="3">D20-E20</f>
        <v>266758379.78000003</v>
      </c>
    </row>
    <row r="21" spans="1:7" s="18" customFormat="1" x14ac:dyDescent="0.25">
      <c r="A21" s="117" t="s">
        <v>433</v>
      </c>
      <c r="B21" s="164"/>
      <c r="C21" s="164"/>
      <c r="D21" s="164">
        <f t="shared" si="2"/>
        <v>0</v>
      </c>
      <c r="E21" s="164"/>
      <c r="F21" s="164"/>
      <c r="G21" s="164">
        <f t="shared" si="3"/>
        <v>0</v>
      </c>
    </row>
    <row r="22" spans="1:7" s="18" customFormat="1" x14ac:dyDescent="0.25">
      <c r="A22" s="117" t="s">
        <v>434</v>
      </c>
      <c r="B22" s="164"/>
      <c r="C22" s="164"/>
      <c r="D22" s="164">
        <f t="shared" si="2"/>
        <v>0</v>
      </c>
      <c r="E22" s="164"/>
      <c r="F22" s="164"/>
      <c r="G22" s="164">
        <f t="shared" si="3"/>
        <v>0</v>
      </c>
    </row>
    <row r="23" spans="1:7" s="18" customFormat="1" x14ac:dyDescent="0.25">
      <c r="A23" s="117" t="s">
        <v>435</v>
      </c>
      <c r="B23" s="164"/>
      <c r="C23" s="164"/>
      <c r="D23" s="164">
        <f t="shared" si="2"/>
        <v>0</v>
      </c>
      <c r="E23" s="164"/>
      <c r="F23" s="164"/>
      <c r="G23" s="164">
        <f t="shared" si="3"/>
        <v>0</v>
      </c>
    </row>
    <row r="24" spans="1:7" s="18" customFormat="1" x14ac:dyDescent="0.25">
      <c r="A24" s="117" t="s">
        <v>436</v>
      </c>
      <c r="B24" s="164"/>
      <c r="C24" s="164"/>
      <c r="D24" s="164">
        <f t="shared" si="2"/>
        <v>0</v>
      </c>
      <c r="E24" s="164"/>
      <c r="F24" s="164"/>
      <c r="G24" s="164">
        <f t="shared" si="3"/>
        <v>0</v>
      </c>
    </row>
    <row r="25" spans="1:7" s="18" customFormat="1" x14ac:dyDescent="0.25">
      <c r="A25" s="117" t="s">
        <v>437</v>
      </c>
      <c r="B25" s="164"/>
      <c r="C25" s="164"/>
      <c r="D25" s="164">
        <f t="shared" si="2"/>
        <v>0</v>
      </c>
      <c r="E25" s="164"/>
      <c r="F25" s="164"/>
      <c r="G25" s="164">
        <f t="shared" si="3"/>
        <v>0</v>
      </c>
    </row>
    <row r="26" spans="1:7" s="18" customFormat="1" x14ac:dyDescent="0.25">
      <c r="A26" s="117" t="s">
        <v>438</v>
      </c>
      <c r="B26" s="164"/>
      <c r="C26" s="164"/>
      <c r="D26" s="164">
        <f t="shared" si="2"/>
        <v>0</v>
      </c>
      <c r="E26" s="164"/>
      <c r="F26" s="164"/>
      <c r="G26" s="164">
        <f t="shared" si="3"/>
        <v>0</v>
      </c>
    </row>
    <row r="27" spans="1:7" s="18" customFormat="1" x14ac:dyDescent="0.25">
      <c r="A27" s="117" t="s">
        <v>439</v>
      </c>
      <c r="B27" s="164"/>
      <c r="C27" s="164"/>
      <c r="D27" s="164">
        <f t="shared" si="2"/>
        <v>0</v>
      </c>
      <c r="E27" s="164"/>
      <c r="F27" s="164"/>
      <c r="G27" s="164">
        <f t="shared" si="3"/>
        <v>0</v>
      </c>
    </row>
    <row r="28" spans="1:7" ht="14.25" x14ac:dyDescent="0.45">
      <c r="A28" s="64" t="s">
        <v>686</v>
      </c>
      <c r="B28" s="46"/>
      <c r="C28" s="46"/>
      <c r="D28" s="46"/>
      <c r="E28" s="46"/>
      <c r="F28" s="46"/>
      <c r="G28" s="46"/>
    </row>
    <row r="29" spans="1:7" ht="14.25" x14ac:dyDescent="0.45">
      <c r="A29" s="47" t="s">
        <v>360</v>
      </c>
      <c r="B29" s="51">
        <f>GASTO_NE_T1+GASTO_E_T1</f>
        <v>1042127769.3000001</v>
      </c>
      <c r="C29" s="51">
        <f>GASTO_NE_T2+GASTO_E_T2</f>
        <v>300837748.78000003</v>
      </c>
      <c r="D29" s="51">
        <f>GASTO_NE_T3+GASTO_E_T3</f>
        <v>1342965518.0800002</v>
      </c>
      <c r="E29" s="51">
        <f>GASTO_NE_T4+GASTO_E_T4</f>
        <v>384795141.70999998</v>
      </c>
      <c r="F29" s="51">
        <f>GASTO_NE_T5+GASTO_E_T5</f>
        <v>336896064.75</v>
      </c>
      <c r="G29" s="51">
        <f>GASTO_NE_T6+GASTO_E_T6</f>
        <v>958170376.37000012</v>
      </c>
    </row>
    <row r="30" spans="1:7" ht="14.25" x14ac:dyDescent="0.45">
      <c r="A30" s="49"/>
      <c r="B30" s="49"/>
      <c r="C30" s="49"/>
      <c r="D30" s="49"/>
      <c r="E30" s="49"/>
      <c r="F30" s="49"/>
      <c r="G30" s="49"/>
    </row>
    <row r="31" spans="1:7" ht="14.25" hidden="1" x14ac:dyDescent="0.4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820050120.30000007</v>
      </c>
      <c r="Q2" s="13">
        <f>GASTO_NE_T2</f>
        <v>210127282.61000001</v>
      </c>
      <c r="R2" s="13">
        <f>GASTO_NE_T3</f>
        <v>1030177402.9100001</v>
      </c>
      <c r="S2" s="13">
        <f>GASTO_NE_T4</f>
        <v>338765406.31999999</v>
      </c>
      <c r="T2" s="13">
        <f>GASTO_NE_T5</f>
        <v>336896064.75</v>
      </c>
      <c r="U2" s="13">
        <f>GASTO_NE_T6</f>
        <v>691411996.59000003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222077649</v>
      </c>
      <c r="Q3" s="13">
        <f>GASTO_E_T2</f>
        <v>90710466.170000002</v>
      </c>
      <c r="R3" s="13">
        <f>GASTO_E_T3</f>
        <v>312788115.17000002</v>
      </c>
      <c r="S3" s="13">
        <f>GASTO_E_T4</f>
        <v>46029735.390000001</v>
      </c>
      <c r="T3" s="13">
        <f>GASTO_E_T5</f>
        <v>0</v>
      </c>
      <c r="U3" s="13">
        <f>GASTO_E_T6</f>
        <v>266758379.78000003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1042127769.3000001</v>
      </c>
      <c r="Q4" s="13">
        <f>TOTAL_E_T2</f>
        <v>300837748.78000003</v>
      </c>
      <c r="R4" s="13">
        <f>TOTAL_E_T3</f>
        <v>1342965518.0800002</v>
      </c>
      <c r="S4" s="13">
        <f>TOTAL_E_T4</f>
        <v>384795141.70999998</v>
      </c>
      <c r="T4" s="13">
        <f>TOTAL_E_T5</f>
        <v>336896064.75</v>
      </c>
      <c r="U4" s="13">
        <f>TOTAL_E_T6</f>
        <v>958170376.37000012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ht="14.25" x14ac:dyDescent="0.45">
      <c r="P18" s="13"/>
      <c r="Q18" s="13"/>
      <c r="R18" s="13"/>
      <c r="S18" s="13"/>
      <c r="T18" s="13"/>
      <c r="U18" s="13"/>
    </row>
    <row r="19" spans="16:21" ht="14.25" x14ac:dyDescent="0.45">
      <c r="P19" s="13"/>
      <c r="Q19" s="13"/>
      <c r="R19" s="13"/>
      <c r="S19" s="13"/>
      <c r="T19" s="13"/>
      <c r="U19" s="13"/>
    </row>
    <row r="20" spans="16:21" ht="14.25" x14ac:dyDescent="0.45">
      <c r="P20" s="13"/>
      <c r="Q20" s="13"/>
      <c r="R20" s="13"/>
      <c r="S20" s="13"/>
      <c r="T20" s="13"/>
      <c r="U20" s="13"/>
    </row>
    <row r="21" spans="16:21" ht="14.25" x14ac:dyDescent="0.45">
      <c r="P21" s="13"/>
      <c r="Q21" s="13"/>
      <c r="R21" s="13"/>
      <c r="S21" s="13"/>
      <c r="T21" s="13"/>
      <c r="U21" s="13"/>
    </row>
    <row r="22" spans="16:21" ht="14.25" x14ac:dyDescent="0.45">
      <c r="P22" s="13"/>
      <c r="Q22" s="13"/>
      <c r="R22" s="13"/>
      <c r="S22" s="13"/>
      <c r="T22" s="13"/>
      <c r="U22" s="13"/>
    </row>
    <row r="23" spans="16:21" ht="14.25" x14ac:dyDescent="0.45">
      <c r="P23" s="13"/>
      <c r="Q23" s="13"/>
      <c r="R23" s="13"/>
      <c r="S23" s="13"/>
      <c r="T23" s="13"/>
      <c r="U23" s="13"/>
    </row>
    <row r="24" spans="16:21" ht="14.25" x14ac:dyDescent="0.45">
      <c r="P24" s="13"/>
      <c r="Q24" s="13"/>
      <c r="R24" s="13"/>
      <c r="S24" s="13"/>
      <c r="T24" s="13"/>
      <c r="U24" s="13"/>
    </row>
    <row r="25" spans="16:21" ht="14.25" x14ac:dyDescent="0.45">
      <c r="P25" s="13"/>
      <c r="Q25" s="13"/>
      <c r="R25" s="13"/>
      <c r="S25" s="13"/>
      <c r="T25" s="13"/>
      <c r="U25" s="13"/>
    </row>
    <row r="26" spans="16:21" ht="14.25" x14ac:dyDescent="0.45">
      <c r="P26" s="13"/>
      <c r="Q26" s="13"/>
      <c r="R26" s="13"/>
      <c r="S26" s="13"/>
      <c r="T26" s="13"/>
      <c r="U26" s="13"/>
    </row>
    <row r="27" spans="16:21" ht="14.25" x14ac:dyDescent="0.45">
      <c r="P27" s="13"/>
      <c r="Q27" s="13"/>
      <c r="R27" s="13"/>
      <c r="S27" s="13"/>
      <c r="T27" s="13"/>
      <c r="U27" s="13"/>
    </row>
    <row r="28" spans="16:21" ht="14.25" x14ac:dyDescent="0.45">
      <c r="P28" s="13"/>
      <c r="Q28" s="13"/>
      <c r="R28" s="13"/>
      <c r="S28" s="13"/>
      <c r="T28" s="13"/>
      <c r="U28" s="13"/>
    </row>
    <row r="29" spans="16:21" ht="14.25" x14ac:dyDescent="0.45">
      <c r="P29" s="13"/>
      <c r="Q29" s="13"/>
      <c r="R29" s="13"/>
      <c r="S29" s="13"/>
      <c r="T29" s="13"/>
      <c r="U29" s="13"/>
    </row>
    <row r="30" spans="16:21" ht="14.25" x14ac:dyDescent="0.45">
      <c r="P30" s="13"/>
      <c r="Q30" s="13"/>
      <c r="R30" s="13"/>
      <c r="S30" s="13"/>
      <c r="T30" s="13"/>
      <c r="U30" s="13"/>
    </row>
    <row r="31" spans="16:21" ht="14.25" x14ac:dyDescent="0.45">
      <c r="P31" s="13"/>
      <c r="Q31" s="13"/>
      <c r="R31" s="13"/>
      <c r="S31" s="13"/>
      <c r="T31" s="13"/>
      <c r="U31" s="13"/>
    </row>
    <row r="32" spans="16:21" ht="14.25" x14ac:dyDescent="0.45">
      <c r="P32" s="13"/>
      <c r="Q32" s="13"/>
      <c r="R32" s="13"/>
      <c r="S32" s="13"/>
      <c r="T32" s="13"/>
      <c r="U32" s="13"/>
    </row>
    <row r="33" spans="16:21" ht="14.25" x14ac:dyDescent="0.45">
      <c r="P33" s="13"/>
      <c r="Q33" s="13"/>
      <c r="R33" s="13"/>
      <c r="S33" s="13"/>
      <c r="T33" s="13"/>
      <c r="U33" s="13"/>
    </row>
    <row r="34" spans="16:21" ht="14.25" x14ac:dyDescent="0.45">
      <c r="P34" s="13"/>
      <c r="Q34" s="13"/>
      <c r="R34" s="13"/>
      <c r="S34" s="13"/>
      <c r="T34" s="13"/>
      <c r="U34" s="13"/>
    </row>
    <row r="35" spans="16:21" ht="14.25" x14ac:dyDescent="0.45">
      <c r="P35" s="13"/>
      <c r="Q35" s="13"/>
      <c r="R35" s="13"/>
      <c r="S35" s="13"/>
      <c r="T35" s="13"/>
      <c r="U35" s="13"/>
    </row>
    <row r="36" spans="16:21" ht="14.25" x14ac:dyDescent="0.4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44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6" t="s">
        <v>3289</v>
      </c>
      <c r="B1" s="147"/>
      <c r="C1" s="147"/>
      <c r="D1" s="147"/>
      <c r="E1" s="147"/>
      <c r="F1" s="147"/>
      <c r="G1" s="147"/>
    </row>
    <row r="2" spans="1:7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396</v>
      </c>
      <c r="B3" s="130"/>
      <c r="C3" s="130"/>
      <c r="D3" s="130"/>
      <c r="E3" s="130"/>
      <c r="F3" s="130"/>
      <c r="G3" s="131"/>
    </row>
    <row r="4" spans="1:7" x14ac:dyDescent="0.25">
      <c r="A4" s="129" t="s">
        <v>397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junio de 2019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0" t="s">
        <v>0</v>
      </c>
      <c r="B7" s="132" t="s">
        <v>279</v>
      </c>
      <c r="C7" s="133"/>
      <c r="D7" s="133"/>
      <c r="E7" s="133"/>
      <c r="F7" s="134"/>
      <c r="G7" s="144" t="s">
        <v>3286</v>
      </c>
    </row>
    <row r="8" spans="1:7" ht="30.75" customHeight="1" x14ac:dyDescent="0.25">
      <c r="A8" s="13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3"/>
    </row>
    <row r="9" spans="1:7" ht="14.25" x14ac:dyDescent="0.45">
      <c r="A9" s="44" t="s">
        <v>363</v>
      </c>
      <c r="B9" s="59">
        <f>SUM(B10,B19,B27,B37)</f>
        <v>820050120.29999983</v>
      </c>
      <c r="C9" s="59">
        <f t="shared" ref="C9:G9" si="0">SUM(C10,C19,C27,C37)</f>
        <v>210127282.61000001</v>
      </c>
      <c r="D9" s="59">
        <f t="shared" si="0"/>
        <v>1030177402.91</v>
      </c>
      <c r="E9" s="59">
        <f t="shared" si="0"/>
        <v>338765406.31999993</v>
      </c>
      <c r="F9" s="59">
        <f t="shared" si="0"/>
        <v>336896064.75</v>
      </c>
      <c r="G9" s="59">
        <f t="shared" si="0"/>
        <v>691411996.59000003</v>
      </c>
    </row>
    <row r="10" spans="1:7" ht="14.25" x14ac:dyDescent="0.45">
      <c r="A10" s="45" t="s">
        <v>364</v>
      </c>
      <c r="B10" s="60">
        <f>SUM(B11:B18)</f>
        <v>296511367.54999995</v>
      </c>
      <c r="C10" s="60">
        <f t="shared" ref="C10:F10" si="1">SUM(C11:C18)</f>
        <v>15718518.899999999</v>
      </c>
      <c r="D10" s="60">
        <f t="shared" si="1"/>
        <v>312229886.44999999</v>
      </c>
      <c r="E10" s="60">
        <f t="shared" si="1"/>
        <v>95152103.939999998</v>
      </c>
      <c r="F10" s="60">
        <f t="shared" si="1"/>
        <v>94182202.510000005</v>
      </c>
      <c r="G10" s="60">
        <f>SUM(G11:G18)</f>
        <v>217077782.50999999</v>
      </c>
    </row>
    <row r="11" spans="1:7" x14ac:dyDescent="0.25">
      <c r="A11" s="53" t="s">
        <v>365</v>
      </c>
      <c r="B11" s="167">
        <v>17995857.280000001</v>
      </c>
      <c r="C11" s="167">
        <v>130503.62</v>
      </c>
      <c r="D11" s="167">
        <f>B11+C11</f>
        <v>18126360.900000002</v>
      </c>
      <c r="E11" s="167">
        <v>8503061.2899999991</v>
      </c>
      <c r="F11" s="167">
        <v>8499267.5600000005</v>
      </c>
      <c r="G11" s="167">
        <f>D11-E11</f>
        <v>9623299.6100000031</v>
      </c>
    </row>
    <row r="12" spans="1:7" x14ac:dyDescent="0.25">
      <c r="A12" s="53" t="s">
        <v>366</v>
      </c>
      <c r="B12" s="167">
        <v>1450889.24</v>
      </c>
      <c r="C12" s="167">
        <v>0</v>
      </c>
      <c r="D12" s="167">
        <f t="shared" ref="D12:D18" si="2">B12+C12</f>
        <v>1450889.24</v>
      </c>
      <c r="E12" s="167">
        <v>533785.59999999998</v>
      </c>
      <c r="F12" s="167">
        <v>533785.59999999998</v>
      </c>
      <c r="G12" s="167">
        <f t="shared" ref="G12:G18" si="3">D12-E12</f>
        <v>917103.64</v>
      </c>
    </row>
    <row r="13" spans="1:7" x14ac:dyDescent="0.25">
      <c r="A13" s="53" t="s">
        <v>367</v>
      </c>
      <c r="B13" s="167">
        <v>90163099</v>
      </c>
      <c r="C13" s="167">
        <v>8754033.1099999994</v>
      </c>
      <c r="D13" s="167">
        <f t="shared" si="2"/>
        <v>98917132.109999999</v>
      </c>
      <c r="E13" s="167">
        <v>47459803.100000001</v>
      </c>
      <c r="F13" s="167">
        <v>46786582.090000004</v>
      </c>
      <c r="G13" s="167">
        <f t="shared" si="3"/>
        <v>51457329.009999998</v>
      </c>
    </row>
    <row r="14" spans="1:7" x14ac:dyDescent="0.25">
      <c r="A14" s="53" t="s">
        <v>368</v>
      </c>
      <c r="B14" s="167"/>
      <c r="C14" s="167"/>
      <c r="D14" s="167">
        <f t="shared" si="2"/>
        <v>0</v>
      </c>
      <c r="E14" s="167"/>
      <c r="F14" s="167"/>
      <c r="G14" s="167">
        <f t="shared" si="3"/>
        <v>0</v>
      </c>
    </row>
    <row r="15" spans="1:7" x14ac:dyDescent="0.25">
      <c r="A15" s="53" t="s">
        <v>369</v>
      </c>
      <c r="B15" s="167">
        <v>165109085.94999999</v>
      </c>
      <c r="C15" s="167">
        <v>1715064.14</v>
      </c>
      <c r="D15" s="167">
        <f t="shared" si="2"/>
        <v>166824150.08999997</v>
      </c>
      <c r="E15" s="167">
        <v>24861521.23</v>
      </c>
      <c r="F15" s="167">
        <v>24729215.030000001</v>
      </c>
      <c r="G15" s="167">
        <f t="shared" si="3"/>
        <v>141962628.85999998</v>
      </c>
    </row>
    <row r="16" spans="1:7" x14ac:dyDescent="0.25">
      <c r="A16" s="53" t="s">
        <v>370</v>
      </c>
      <c r="B16" s="167"/>
      <c r="C16" s="167"/>
      <c r="D16" s="167">
        <f t="shared" si="2"/>
        <v>0</v>
      </c>
      <c r="E16" s="167"/>
      <c r="F16" s="167"/>
      <c r="G16" s="167">
        <f t="shared" si="3"/>
        <v>0</v>
      </c>
    </row>
    <row r="17" spans="1:7" x14ac:dyDescent="0.25">
      <c r="A17" s="53" t="s">
        <v>371</v>
      </c>
      <c r="B17" s="167">
        <v>21792436.079999998</v>
      </c>
      <c r="C17" s="167">
        <v>5118918.03</v>
      </c>
      <c r="D17" s="167">
        <f t="shared" si="2"/>
        <v>26911354.109999999</v>
      </c>
      <c r="E17" s="167">
        <v>13793932.720000001</v>
      </c>
      <c r="F17" s="167">
        <v>13633352.23</v>
      </c>
      <c r="G17" s="167">
        <f t="shared" si="3"/>
        <v>13117421.389999999</v>
      </c>
    </row>
    <row r="18" spans="1:7" x14ac:dyDescent="0.25">
      <c r="A18" s="53" t="s">
        <v>372</v>
      </c>
      <c r="B18" s="167"/>
      <c r="C18" s="167"/>
      <c r="D18" s="167">
        <f t="shared" si="2"/>
        <v>0</v>
      </c>
      <c r="E18" s="167"/>
      <c r="F18" s="167"/>
      <c r="G18" s="167">
        <f t="shared" si="3"/>
        <v>0</v>
      </c>
    </row>
    <row r="19" spans="1:7" ht="14.25" x14ac:dyDescent="0.45">
      <c r="A19" s="45" t="s">
        <v>373</v>
      </c>
      <c r="B19" s="60">
        <f>SUM(B20:B26)</f>
        <v>383935605.57999998</v>
      </c>
      <c r="C19" s="60">
        <f t="shared" ref="C19:F19" si="4">SUM(C20:C26)</f>
        <v>184732387.70000002</v>
      </c>
      <c r="D19" s="60">
        <f t="shared" si="4"/>
        <v>568667993.27999997</v>
      </c>
      <c r="E19" s="60">
        <f t="shared" si="4"/>
        <v>184334108.78999996</v>
      </c>
      <c r="F19" s="60">
        <f t="shared" si="4"/>
        <v>183202341.38999996</v>
      </c>
      <c r="G19" s="60">
        <f>SUM(G20:G26)</f>
        <v>384333884.49000007</v>
      </c>
    </row>
    <row r="20" spans="1:7" x14ac:dyDescent="0.25">
      <c r="A20" s="53" t="s">
        <v>374</v>
      </c>
      <c r="B20" s="167">
        <v>19548206.989999998</v>
      </c>
      <c r="C20" s="167">
        <v>7242420.9100000001</v>
      </c>
      <c r="D20" s="167">
        <f t="shared" ref="D20:D26" si="5">B20+C20</f>
        <v>26790627.899999999</v>
      </c>
      <c r="E20" s="167">
        <v>12492267.699999999</v>
      </c>
      <c r="F20" s="167">
        <v>12343065.59</v>
      </c>
      <c r="G20" s="167">
        <f t="shared" ref="G20:G26" si="6">D20-E20</f>
        <v>14298360.199999999</v>
      </c>
    </row>
    <row r="21" spans="1:7" x14ac:dyDescent="0.25">
      <c r="A21" s="53" t="s">
        <v>375</v>
      </c>
      <c r="B21" s="167">
        <v>289567905.01999998</v>
      </c>
      <c r="C21" s="167">
        <v>159176450.68000001</v>
      </c>
      <c r="D21" s="167">
        <f t="shared" si="5"/>
        <v>448744355.69999999</v>
      </c>
      <c r="E21" s="167">
        <v>125736752.84999999</v>
      </c>
      <c r="F21" s="167">
        <v>124910919.55</v>
      </c>
      <c r="G21" s="167">
        <f t="shared" si="6"/>
        <v>323007602.85000002</v>
      </c>
    </row>
    <row r="22" spans="1:7" x14ac:dyDescent="0.25">
      <c r="A22" s="53" t="s">
        <v>376</v>
      </c>
      <c r="B22" s="167"/>
      <c r="C22" s="167"/>
      <c r="D22" s="167">
        <f t="shared" si="5"/>
        <v>0</v>
      </c>
      <c r="E22" s="167"/>
      <c r="F22" s="167"/>
      <c r="G22" s="167">
        <f t="shared" si="6"/>
        <v>0</v>
      </c>
    </row>
    <row r="23" spans="1:7" x14ac:dyDescent="0.25">
      <c r="A23" s="53" t="s">
        <v>377</v>
      </c>
      <c r="B23" s="167">
        <v>37301393.289999999</v>
      </c>
      <c r="C23" s="167">
        <v>15524708.02</v>
      </c>
      <c r="D23" s="167">
        <f t="shared" si="5"/>
        <v>52826101.310000002</v>
      </c>
      <c r="E23" s="167">
        <v>25303159.649999999</v>
      </c>
      <c r="F23" s="167">
        <v>25258009.539999999</v>
      </c>
      <c r="G23" s="167">
        <f t="shared" si="6"/>
        <v>27522941.660000004</v>
      </c>
    </row>
    <row r="24" spans="1:7" x14ac:dyDescent="0.25">
      <c r="A24" s="53" t="s">
        <v>378</v>
      </c>
      <c r="B24" s="167"/>
      <c r="C24" s="167"/>
      <c r="D24" s="167">
        <f t="shared" si="5"/>
        <v>0</v>
      </c>
      <c r="E24" s="167"/>
      <c r="F24" s="167"/>
      <c r="G24" s="167">
        <f t="shared" si="6"/>
        <v>0</v>
      </c>
    </row>
    <row r="25" spans="1:7" x14ac:dyDescent="0.25">
      <c r="A25" s="53" t="s">
        <v>379</v>
      </c>
      <c r="B25" s="167">
        <v>31432885.899999999</v>
      </c>
      <c r="C25" s="167">
        <v>2902808.09</v>
      </c>
      <c r="D25" s="167">
        <f t="shared" si="5"/>
        <v>34335693.989999995</v>
      </c>
      <c r="E25" s="167">
        <v>17215210.449999999</v>
      </c>
      <c r="F25" s="167">
        <v>17103628.57</v>
      </c>
      <c r="G25" s="167">
        <f t="shared" si="6"/>
        <v>17120483.539999995</v>
      </c>
    </row>
    <row r="26" spans="1:7" x14ac:dyDescent="0.25">
      <c r="A26" s="53" t="s">
        <v>380</v>
      </c>
      <c r="B26" s="167">
        <v>6085214.3799999999</v>
      </c>
      <c r="C26" s="167">
        <v>-114000</v>
      </c>
      <c r="D26" s="167">
        <f t="shared" si="5"/>
        <v>5971214.3799999999</v>
      </c>
      <c r="E26" s="167">
        <v>3586718.14</v>
      </c>
      <c r="F26" s="167">
        <v>3586718.14</v>
      </c>
      <c r="G26" s="167">
        <f t="shared" si="6"/>
        <v>2384496.2399999998</v>
      </c>
    </row>
    <row r="27" spans="1:7" x14ac:dyDescent="0.25">
      <c r="A27" s="45" t="s">
        <v>381</v>
      </c>
      <c r="B27" s="60">
        <f>SUM(B28:B36)</f>
        <v>123413277</v>
      </c>
      <c r="C27" s="60">
        <f t="shared" ref="C27:F27" si="7">SUM(C28:C36)</f>
        <v>9676376.0099999998</v>
      </c>
      <c r="D27" s="60">
        <f t="shared" si="7"/>
        <v>133089653.01000001</v>
      </c>
      <c r="E27" s="60">
        <f t="shared" si="7"/>
        <v>59279193.590000004</v>
      </c>
      <c r="F27" s="60">
        <f t="shared" si="7"/>
        <v>59511520.849999994</v>
      </c>
      <c r="G27" s="60">
        <f>SUM(G28:G36)</f>
        <v>73810459.420000017</v>
      </c>
    </row>
    <row r="28" spans="1:7" x14ac:dyDescent="0.25">
      <c r="A28" s="58" t="s">
        <v>382</v>
      </c>
      <c r="B28" s="167">
        <v>109931851.98</v>
      </c>
      <c r="C28" s="167">
        <v>9676376.0099999998</v>
      </c>
      <c r="D28" s="167">
        <f t="shared" ref="D28:D36" si="8">B28+C28</f>
        <v>119608227.99000001</v>
      </c>
      <c r="E28" s="167">
        <v>55038481.109999999</v>
      </c>
      <c r="F28" s="167">
        <v>55270808.369999997</v>
      </c>
      <c r="G28" s="167">
        <f t="shared" ref="G28:G36" si="9">D28-E28</f>
        <v>64569746.88000001</v>
      </c>
    </row>
    <row r="29" spans="1:7" x14ac:dyDescent="0.25">
      <c r="A29" s="53" t="s">
        <v>383</v>
      </c>
      <c r="B29" s="167"/>
      <c r="C29" s="167"/>
      <c r="D29" s="167">
        <f t="shared" si="8"/>
        <v>0</v>
      </c>
      <c r="E29" s="167"/>
      <c r="F29" s="167"/>
      <c r="G29" s="167">
        <f t="shared" si="9"/>
        <v>0</v>
      </c>
    </row>
    <row r="30" spans="1:7" x14ac:dyDescent="0.25">
      <c r="A30" s="53" t="s">
        <v>384</v>
      </c>
      <c r="B30" s="167"/>
      <c r="C30" s="167"/>
      <c r="D30" s="167">
        <f t="shared" si="8"/>
        <v>0</v>
      </c>
      <c r="E30" s="167"/>
      <c r="F30" s="167"/>
      <c r="G30" s="167">
        <f t="shared" si="9"/>
        <v>0</v>
      </c>
    </row>
    <row r="31" spans="1:7" x14ac:dyDescent="0.25">
      <c r="A31" s="53" t="s">
        <v>385</v>
      </c>
      <c r="B31" s="167"/>
      <c r="C31" s="167"/>
      <c r="D31" s="167">
        <f t="shared" si="8"/>
        <v>0</v>
      </c>
      <c r="E31" s="167"/>
      <c r="F31" s="167"/>
      <c r="G31" s="167">
        <f t="shared" si="9"/>
        <v>0</v>
      </c>
    </row>
    <row r="32" spans="1:7" x14ac:dyDescent="0.25">
      <c r="A32" s="53" t="s">
        <v>386</v>
      </c>
      <c r="B32" s="167"/>
      <c r="C32" s="167"/>
      <c r="D32" s="167">
        <f t="shared" si="8"/>
        <v>0</v>
      </c>
      <c r="E32" s="167"/>
      <c r="F32" s="167"/>
      <c r="G32" s="167">
        <f t="shared" si="9"/>
        <v>0</v>
      </c>
    </row>
    <row r="33" spans="1:7" x14ac:dyDescent="0.25">
      <c r="A33" s="53" t="s">
        <v>387</v>
      </c>
      <c r="B33" s="167"/>
      <c r="C33" s="167"/>
      <c r="D33" s="167">
        <f t="shared" si="8"/>
        <v>0</v>
      </c>
      <c r="E33" s="167"/>
      <c r="F33" s="167"/>
      <c r="G33" s="167">
        <f t="shared" si="9"/>
        <v>0</v>
      </c>
    </row>
    <row r="34" spans="1:7" x14ac:dyDescent="0.25">
      <c r="A34" s="53" t="s">
        <v>388</v>
      </c>
      <c r="B34" s="167">
        <v>7481425.0199999996</v>
      </c>
      <c r="C34" s="167">
        <v>0</v>
      </c>
      <c r="D34" s="167">
        <f t="shared" si="8"/>
        <v>7481425.0199999996</v>
      </c>
      <c r="E34" s="167">
        <v>4240712.4800000004</v>
      </c>
      <c r="F34" s="167">
        <v>4240712.4800000004</v>
      </c>
      <c r="G34" s="167">
        <f t="shared" si="9"/>
        <v>3240712.5399999991</v>
      </c>
    </row>
    <row r="35" spans="1:7" x14ac:dyDescent="0.25">
      <c r="A35" s="53" t="s">
        <v>389</v>
      </c>
      <c r="B35" s="167"/>
      <c r="C35" s="167"/>
      <c r="D35" s="167">
        <f t="shared" si="8"/>
        <v>0</v>
      </c>
      <c r="E35" s="167"/>
      <c r="F35" s="167"/>
      <c r="G35" s="167">
        <f t="shared" si="9"/>
        <v>0</v>
      </c>
    </row>
    <row r="36" spans="1:7" x14ac:dyDescent="0.25">
      <c r="A36" s="53" t="s">
        <v>390</v>
      </c>
      <c r="B36" s="167">
        <v>6000000</v>
      </c>
      <c r="C36" s="167">
        <v>0</v>
      </c>
      <c r="D36" s="167">
        <f t="shared" si="8"/>
        <v>6000000</v>
      </c>
      <c r="E36" s="167">
        <v>0</v>
      </c>
      <c r="F36" s="167">
        <v>0</v>
      </c>
      <c r="G36" s="167">
        <f t="shared" si="9"/>
        <v>6000000</v>
      </c>
    </row>
    <row r="37" spans="1:7" ht="28.5" x14ac:dyDescent="0.45">
      <c r="A37" s="54" t="s">
        <v>398</v>
      </c>
      <c r="B37" s="60">
        <f>SUM(B38:B41)</f>
        <v>16189870.17</v>
      </c>
      <c r="C37" s="60">
        <f t="shared" ref="C37:F37" si="10">SUM(C38:C41)</f>
        <v>0</v>
      </c>
      <c r="D37" s="60">
        <f t="shared" si="10"/>
        <v>16189870.17</v>
      </c>
      <c r="E37" s="60">
        <f t="shared" si="10"/>
        <v>0</v>
      </c>
      <c r="F37" s="60">
        <f t="shared" si="10"/>
        <v>0</v>
      </c>
      <c r="G37" s="60">
        <f>SUM(G38:G41)</f>
        <v>16189870.17</v>
      </c>
    </row>
    <row r="38" spans="1:7" x14ac:dyDescent="0.25">
      <c r="A38" s="58" t="s">
        <v>391</v>
      </c>
      <c r="B38" s="167">
        <v>16189870.17</v>
      </c>
      <c r="C38" s="167">
        <v>0</v>
      </c>
      <c r="D38" s="167">
        <f t="shared" ref="D38:D41" si="11">B38+C38</f>
        <v>16189870.17</v>
      </c>
      <c r="E38" s="167">
        <v>0</v>
      </c>
      <c r="F38" s="167">
        <v>0</v>
      </c>
      <c r="G38" s="167">
        <f t="shared" ref="G38:G41" si="12">D38-E38</f>
        <v>16189870.17</v>
      </c>
    </row>
    <row r="39" spans="1:7" ht="30" x14ac:dyDescent="0.25">
      <c r="A39" s="58" t="s">
        <v>392</v>
      </c>
      <c r="B39" s="167"/>
      <c r="C39" s="167"/>
      <c r="D39" s="167">
        <f t="shared" si="11"/>
        <v>0</v>
      </c>
      <c r="E39" s="167"/>
      <c r="F39" s="167"/>
      <c r="G39" s="167">
        <f t="shared" si="12"/>
        <v>0</v>
      </c>
    </row>
    <row r="40" spans="1:7" x14ac:dyDescent="0.25">
      <c r="A40" s="58" t="s">
        <v>393</v>
      </c>
      <c r="B40" s="167"/>
      <c r="C40" s="167"/>
      <c r="D40" s="167">
        <f t="shared" si="11"/>
        <v>0</v>
      </c>
      <c r="E40" s="167"/>
      <c r="F40" s="167"/>
      <c r="G40" s="167">
        <f t="shared" si="12"/>
        <v>0</v>
      </c>
    </row>
    <row r="41" spans="1:7" x14ac:dyDescent="0.25">
      <c r="A41" s="58" t="s">
        <v>394</v>
      </c>
      <c r="B41" s="167"/>
      <c r="C41" s="167"/>
      <c r="D41" s="167">
        <f t="shared" si="11"/>
        <v>0</v>
      </c>
      <c r="E41" s="167"/>
      <c r="F41" s="167"/>
      <c r="G41" s="167">
        <f t="shared" si="12"/>
        <v>0</v>
      </c>
    </row>
    <row r="42" spans="1:7" ht="14.25" x14ac:dyDescent="0.4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222077649</v>
      </c>
      <c r="C43" s="61">
        <f t="shared" ref="C43:G43" si="13">SUM(C44,C53,C61,C71)</f>
        <v>90710466.170000002</v>
      </c>
      <c r="D43" s="61">
        <f t="shared" si="13"/>
        <v>312788115.16999996</v>
      </c>
      <c r="E43" s="61">
        <f t="shared" si="13"/>
        <v>46029735.389999993</v>
      </c>
      <c r="F43" s="61">
        <f t="shared" si="13"/>
        <v>46029735.389999993</v>
      </c>
      <c r="G43" s="61">
        <f t="shared" si="13"/>
        <v>266758379.78</v>
      </c>
    </row>
    <row r="44" spans="1:7" x14ac:dyDescent="0.25">
      <c r="A44" s="45" t="s">
        <v>430</v>
      </c>
      <c r="B44" s="60">
        <f>SUM(B45:B52)</f>
        <v>95462947</v>
      </c>
      <c r="C44" s="60">
        <f t="shared" ref="C44:G44" si="14">SUM(C45:C52)</f>
        <v>27809488.379999999</v>
      </c>
      <c r="D44" s="60">
        <f t="shared" si="14"/>
        <v>123272435.38</v>
      </c>
      <c r="E44" s="60">
        <f t="shared" si="14"/>
        <v>40660281.549999997</v>
      </c>
      <c r="F44" s="60">
        <f t="shared" si="14"/>
        <v>40660281.549999997</v>
      </c>
      <c r="G44" s="60">
        <f t="shared" si="14"/>
        <v>82612153.829999998</v>
      </c>
    </row>
    <row r="45" spans="1:7" x14ac:dyDescent="0.25">
      <c r="A45" s="58" t="s">
        <v>365</v>
      </c>
      <c r="B45" s="167"/>
      <c r="C45" s="167"/>
      <c r="D45" s="167">
        <f t="shared" ref="D45:D52" si="15">B45+C45</f>
        <v>0</v>
      </c>
      <c r="E45" s="167"/>
      <c r="F45" s="167"/>
      <c r="G45" s="167">
        <f t="shared" ref="G45:G52" si="16">D45-E45</f>
        <v>0</v>
      </c>
    </row>
    <row r="46" spans="1:7" x14ac:dyDescent="0.25">
      <c r="A46" s="58" t="s">
        <v>366</v>
      </c>
      <c r="B46" s="167"/>
      <c r="C46" s="167"/>
      <c r="D46" s="167">
        <f t="shared" si="15"/>
        <v>0</v>
      </c>
      <c r="E46" s="167"/>
      <c r="F46" s="167"/>
      <c r="G46" s="167">
        <f t="shared" si="16"/>
        <v>0</v>
      </c>
    </row>
    <row r="47" spans="1:7" x14ac:dyDescent="0.25">
      <c r="A47" s="58" t="s">
        <v>367</v>
      </c>
      <c r="B47" s="167"/>
      <c r="C47" s="167"/>
      <c r="D47" s="167">
        <f t="shared" si="15"/>
        <v>0</v>
      </c>
      <c r="E47" s="167"/>
      <c r="F47" s="167"/>
      <c r="G47" s="167">
        <f t="shared" si="16"/>
        <v>0</v>
      </c>
    </row>
    <row r="48" spans="1:7" x14ac:dyDescent="0.25">
      <c r="A48" s="58" t="s">
        <v>368</v>
      </c>
      <c r="B48" s="167"/>
      <c r="C48" s="167"/>
      <c r="D48" s="167">
        <f t="shared" si="15"/>
        <v>0</v>
      </c>
      <c r="E48" s="167"/>
      <c r="F48" s="167"/>
      <c r="G48" s="167">
        <f t="shared" si="16"/>
        <v>0</v>
      </c>
    </row>
    <row r="49" spans="1:7" x14ac:dyDescent="0.25">
      <c r="A49" s="58" t="s">
        <v>369</v>
      </c>
      <c r="B49" s="167">
        <v>1613574.58</v>
      </c>
      <c r="C49" s="167">
        <v>2456710.38</v>
      </c>
      <c r="D49" s="167">
        <f t="shared" si="15"/>
        <v>4070284.96</v>
      </c>
      <c r="E49" s="167">
        <v>0</v>
      </c>
      <c r="F49" s="167">
        <v>0</v>
      </c>
      <c r="G49" s="167">
        <f t="shared" si="16"/>
        <v>4070284.96</v>
      </c>
    </row>
    <row r="50" spans="1:7" x14ac:dyDescent="0.25">
      <c r="A50" s="58" t="s">
        <v>370</v>
      </c>
      <c r="B50" s="167"/>
      <c r="C50" s="167"/>
      <c r="D50" s="167">
        <f t="shared" si="15"/>
        <v>0</v>
      </c>
      <c r="E50" s="167"/>
      <c r="F50" s="167"/>
      <c r="G50" s="167">
        <f t="shared" si="16"/>
        <v>0</v>
      </c>
    </row>
    <row r="51" spans="1:7" x14ac:dyDescent="0.25">
      <c r="A51" s="58" t="s">
        <v>371</v>
      </c>
      <c r="B51" s="167">
        <v>93849372.420000002</v>
      </c>
      <c r="C51" s="167">
        <v>20401630.870000001</v>
      </c>
      <c r="D51" s="167">
        <f t="shared" si="15"/>
        <v>114251003.29000001</v>
      </c>
      <c r="E51" s="167">
        <v>40660281.549999997</v>
      </c>
      <c r="F51" s="167">
        <v>40660281.549999997</v>
      </c>
      <c r="G51" s="167">
        <f t="shared" si="16"/>
        <v>73590721.74000001</v>
      </c>
    </row>
    <row r="52" spans="1:7" x14ac:dyDescent="0.25">
      <c r="A52" s="58" t="s">
        <v>372</v>
      </c>
      <c r="B52" s="167">
        <v>0</v>
      </c>
      <c r="C52" s="167">
        <v>4951147.13</v>
      </c>
      <c r="D52" s="167">
        <f t="shared" si="15"/>
        <v>4951147.13</v>
      </c>
      <c r="E52" s="167">
        <v>0</v>
      </c>
      <c r="F52" s="167">
        <v>0</v>
      </c>
      <c r="G52" s="167">
        <f t="shared" si="16"/>
        <v>4951147.13</v>
      </c>
    </row>
    <row r="53" spans="1:7" x14ac:dyDescent="0.25">
      <c r="A53" s="45" t="s">
        <v>373</v>
      </c>
      <c r="B53" s="60">
        <f>SUM(B54:B60)</f>
        <v>115081758</v>
      </c>
      <c r="C53" s="60">
        <f t="shared" ref="C53:G53" si="17">SUM(C54:C60)</f>
        <v>62900977.790000007</v>
      </c>
      <c r="D53" s="60">
        <f t="shared" si="17"/>
        <v>177982735.78999999</v>
      </c>
      <c r="E53" s="60">
        <f t="shared" si="17"/>
        <v>0</v>
      </c>
      <c r="F53" s="60">
        <f t="shared" si="17"/>
        <v>0</v>
      </c>
      <c r="G53" s="60">
        <f t="shared" si="17"/>
        <v>177982735.78999999</v>
      </c>
    </row>
    <row r="54" spans="1:7" x14ac:dyDescent="0.25">
      <c r="A54" s="58" t="s">
        <v>374</v>
      </c>
      <c r="B54" s="167">
        <v>0</v>
      </c>
      <c r="C54" s="167">
        <v>9864434.7300000004</v>
      </c>
      <c r="D54" s="167">
        <f t="shared" ref="D54:D60" si="18">B54+C54</f>
        <v>9864434.7300000004</v>
      </c>
      <c r="E54" s="167">
        <v>0</v>
      </c>
      <c r="F54" s="167">
        <v>0</v>
      </c>
      <c r="G54" s="167">
        <f t="shared" ref="G54:G60" si="19">D54-E54</f>
        <v>9864434.7300000004</v>
      </c>
    </row>
    <row r="55" spans="1:7" x14ac:dyDescent="0.25">
      <c r="A55" s="58" t="s">
        <v>375</v>
      </c>
      <c r="B55" s="167">
        <v>115081758</v>
      </c>
      <c r="C55" s="167">
        <v>35361257.549999997</v>
      </c>
      <c r="D55" s="167">
        <f t="shared" si="18"/>
        <v>150443015.55000001</v>
      </c>
      <c r="E55" s="167">
        <v>0</v>
      </c>
      <c r="F55" s="167">
        <v>0</v>
      </c>
      <c r="G55" s="167">
        <f t="shared" si="19"/>
        <v>150443015.55000001</v>
      </c>
    </row>
    <row r="56" spans="1:7" x14ac:dyDescent="0.25">
      <c r="A56" s="58" t="s">
        <v>376</v>
      </c>
      <c r="B56" s="167"/>
      <c r="C56" s="167"/>
      <c r="D56" s="167">
        <f t="shared" si="18"/>
        <v>0</v>
      </c>
      <c r="E56" s="167"/>
      <c r="F56" s="167"/>
      <c r="G56" s="167">
        <f t="shared" si="19"/>
        <v>0</v>
      </c>
    </row>
    <row r="57" spans="1:7" x14ac:dyDescent="0.25">
      <c r="A57" s="40" t="s">
        <v>377</v>
      </c>
      <c r="B57" s="167">
        <v>0</v>
      </c>
      <c r="C57" s="167">
        <v>534078.39</v>
      </c>
      <c r="D57" s="167">
        <f t="shared" si="18"/>
        <v>534078.39</v>
      </c>
      <c r="E57" s="167">
        <v>0</v>
      </c>
      <c r="F57" s="167">
        <v>0</v>
      </c>
      <c r="G57" s="167">
        <f t="shared" si="19"/>
        <v>534078.39</v>
      </c>
    </row>
    <row r="58" spans="1:7" x14ac:dyDescent="0.25">
      <c r="A58" s="58" t="s">
        <v>378</v>
      </c>
      <c r="B58" s="167">
        <v>0</v>
      </c>
      <c r="C58" s="167">
        <v>12135003.279999999</v>
      </c>
      <c r="D58" s="167">
        <f t="shared" si="18"/>
        <v>12135003.279999999</v>
      </c>
      <c r="E58" s="167">
        <v>0</v>
      </c>
      <c r="F58" s="167">
        <v>0</v>
      </c>
      <c r="G58" s="167">
        <f t="shared" si="19"/>
        <v>12135003.279999999</v>
      </c>
    </row>
    <row r="59" spans="1:7" x14ac:dyDescent="0.25">
      <c r="A59" s="58" t="s">
        <v>379</v>
      </c>
      <c r="B59" s="167">
        <v>0</v>
      </c>
      <c r="C59" s="167">
        <v>5006203.84</v>
      </c>
      <c r="D59" s="167">
        <f t="shared" si="18"/>
        <v>5006203.84</v>
      </c>
      <c r="E59" s="167">
        <v>0</v>
      </c>
      <c r="F59" s="167">
        <v>0</v>
      </c>
      <c r="G59" s="167">
        <f t="shared" si="19"/>
        <v>5006203.84</v>
      </c>
    </row>
    <row r="60" spans="1:7" x14ac:dyDescent="0.25">
      <c r="A60" s="58" t="s">
        <v>380</v>
      </c>
      <c r="B60" s="167"/>
      <c r="C60" s="167"/>
      <c r="D60" s="167">
        <f t="shared" si="18"/>
        <v>0</v>
      </c>
      <c r="E60" s="167"/>
      <c r="F60" s="167"/>
      <c r="G60" s="167">
        <f t="shared" si="19"/>
        <v>0</v>
      </c>
    </row>
    <row r="61" spans="1:7" x14ac:dyDescent="0.25">
      <c r="A61" s="45" t="s">
        <v>381</v>
      </c>
      <c r="B61" s="60">
        <f>SUM(B62:B70)</f>
        <v>2000000</v>
      </c>
      <c r="C61" s="60">
        <f t="shared" ref="C61:G61" si="20">SUM(C62:C70)</f>
        <v>0</v>
      </c>
      <c r="D61" s="60">
        <f t="shared" si="20"/>
        <v>2000000</v>
      </c>
      <c r="E61" s="60">
        <f t="shared" si="20"/>
        <v>1256044.8</v>
      </c>
      <c r="F61" s="60">
        <f t="shared" si="20"/>
        <v>1256044.8</v>
      </c>
      <c r="G61" s="60">
        <f t="shared" si="20"/>
        <v>743955.2</v>
      </c>
    </row>
    <row r="62" spans="1:7" x14ac:dyDescent="0.25">
      <c r="A62" s="58" t="s">
        <v>382</v>
      </c>
      <c r="B62" s="167">
        <v>2000000</v>
      </c>
      <c r="C62" s="167">
        <v>0</v>
      </c>
      <c r="D62" s="167">
        <f t="shared" ref="D62:D70" si="21">B62+C62</f>
        <v>2000000</v>
      </c>
      <c r="E62" s="167">
        <v>1256044.8</v>
      </c>
      <c r="F62" s="167">
        <v>1256044.8</v>
      </c>
      <c r="G62" s="167">
        <f t="shared" ref="G62:G70" si="22">D62-E62</f>
        <v>743955.2</v>
      </c>
    </row>
    <row r="63" spans="1:7" x14ac:dyDescent="0.25">
      <c r="A63" s="58" t="s">
        <v>383</v>
      </c>
      <c r="B63" s="167"/>
      <c r="C63" s="167"/>
      <c r="D63" s="167">
        <f t="shared" si="21"/>
        <v>0</v>
      </c>
      <c r="E63" s="167"/>
      <c r="F63" s="167"/>
      <c r="G63" s="167">
        <f t="shared" si="22"/>
        <v>0</v>
      </c>
    </row>
    <row r="64" spans="1:7" x14ac:dyDescent="0.25">
      <c r="A64" s="58" t="s">
        <v>384</v>
      </c>
      <c r="B64" s="167"/>
      <c r="C64" s="167"/>
      <c r="D64" s="167">
        <f t="shared" si="21"/>
        <v>0</v>
      </c>
      <c r="E64" s="167"/>
      <c r="F64" s="167"/>
      <c r="G64" s="167">
        <f t="shared" si="22"/>
        <v>0</v>
      </c>
    </row>
    <row r="65" spans="1:7" x14ac:dyDescent="0.25">
      <c r="A65" s="58" t="s">
        <v>385</v>
      </c>
      <c r="B65" s="167"/>
      <c r="C65" s="167"/>
      <c r="D65" s="167">
        <f t="shared" si="21"/>
        <v>0</v>
      </c>
      <c r="E65" s="167"/>
      <c r="F65" s="167"/>
      <c r="G65" s="167">
        <f t="shared" si="22"/>
        <v>0</v>
      </c>
    </row>
    <row r="66" spans="1:7" x14ac:dyDescent="0.25">
      <c r="A66" s="58" t="s">
        <v>386</v>
      </c>
      <c r="B66" s="167"/>
      <c r="C66" s="167"/>
      <c r="D66" s="167">
        <f t="shared" si="21"/>
        <v>0</v>
      </c>
      <c r="E66" s="167"/>
      <c r="F66" s="167"/>
      <c r="G66" s="167">
        <f t="shared" si="22"/>
        <v>0</v>
      </c>
    </row>
    <row r="67" spans="1:7" x14ac:dyDescent="0.25">
      <c r="A67" s="58" t="s">
        <v>387</v>
      </c>
      <c r="B67" s="167"/>
      <c r="C67" s="167"/>
      <c r="D67" s="167">
        <f t="shared" si="21"/>
        <v>0</v>
      </c>
      <c r="E67" s="167"/>
      <c r="F67" s="167"/>
      <c r="G67" s="167">
        <f t="shared" si="22"/>
        <v>0</v>
      </c>
    </row>
    <row r="68" spans="1:7" x14ac:dyDescent="0.25">
      <c r="A68" s="58" t="s">
        <v>388</v>
      </c>
      <c r="B68" s="167"/>
      <c r="C68" s="167"/>
      <c r="D68" s="167">
        <f t="shared" si="21"/>
        <v>0</v>
      </c>
      <c r="E68" s="167"/>
      <c r="F68" s="167"/>
      <c r="G68" s="167">
        <f t="shared" si="22"/>
        <v>0</v>
      </c>
    </row>
    <row r="69" spans="1:7" x14ac:dyDescent="0.25">
      <c r="A69" s="58" t="s">
        <v>389</v>
      </c>
      <c r="B69" s="167"/>
      <c r="C69" s="167"/>
      <c r="D69" s="167">
        <f t="shared" si="21"/>
        <v>0</v>
      </c>
      <c r="E69" s="167"/>
      <c r="F69" s="167"/>
      <c r="G69" s="167">
        <f t="shared" si="22"/>
        <v>0</v>
      </c>
    </row>
    <row r="70" spans="1:7" x14ac:dyDescent="0.25">
      <c r="A70" s="58" t="s">
        <v>390</v>
      </c>
      <c r="B70" s="167"/>
      <c r="C70" s="167"/>
      <c r="D70" s="167">
        <f t="shared" si="21"/>
        <v>0</v>
      </c>
      <c r="E70" s="167"/>
      <c r="F70" s="167"/>
      <c r="G70" s="167">
        <f t="shared" si="22"/>
        <v>0</v>
      </c>
    </row>
    <row r="71" spans="1:7" x14ac:dyDescent="0.25">
      <c r="A71" s="54" t="s">
        <v>3299</v>
      </c>
      <c r="B71" s="62">
        <f>SUM(B72:B75)</f>
        <v>9532944</v>
      </c>
      <c r="C71" s="62">
        <f t="shared" ref="C71:F71" si="23">SUM(C72:C75)</f>
        <v>0</v>
      </c>
      <c r="D71" s="62">
        <f t="shared" si="23"/>
        <v>9532944</v>
      </c>
      <c r="E71" s="62">
        <f t="shared" si="23"/>
        <v>4113409.04</v>
      </c>
      <c r="F71" s="62">
        <f t="shared" si="23"/>
        <v>4113409.04</v>
      </c>
      <c r="G71" s="62">
        <f>SUM(G72:G75)</f>
        <v>5419534.96</v>
      </c>
    </row>
    <row r="72" spans="1:7" x14ac:dyDescent="0.25">
      <c r="A72" s="58" t="s">
        <v>391</v>
      </c>
      <c r="B72" s="167">
        <v>9532944</v>
      </c>
      <c r="C72" s="167">
        <v>0</v>
      </c>
      <c r="D72" s="167">
        <f t="shared" ref="D72:D75" si="24">B72+C72</f>
        <v>9532944</v>
      </c>
      <c r="E72" s="167">
        <v>4113409.04</v>
      </c>
      <c r="F72" s="167">
        <v>4113409.04</v>
      </c>
      <c r="G72" s="167">
        <f t="shared" ref="G72:G75" si="25">D72-E72</f>
        <v>5419534.96</v>
      </c>
    </row>
    <row r="73" spans="1:7" ht="30" x14ac:dyDescent="0.25">
      <c r="A73" s="58" t="s">
        <v>392</v>
      </c>
      <c r="B73" s="167"/>
      <c r="C73" s="167"/>
      <c r="D73" s="167">
        <f t="shared" si="24"/>
        <v>0</v>
      </c>
      <c r="E73" s="167"/>
      <c r="F73" s="167"/>
      <c r="G73" s="167">
        <f t="shared" si="25"/>
        <v>0</v>
      </c>
    </row>
    <row r="74" spans="1:7" x14ac:dyDescent="0.25">
      <c r="A74" s="58" t="s">
        <v>393</v>
      </c>
      <c r="B74" s="167"/>
      <c r="C74" s="167"/>
      <c r="D74" s="167">
        <f t="shared" si="24"/>
        <v>0</v>
      </c>
      <c r="E74" s="167"/>
      <c r="F74" s="167"/>
      <c r="G74" s="167">
        <f t="shared" si="25"/>
        <v>0</v>
      </c>
    </row>
    <row r="75" spans="1:7" x14ac:dyDescent="0.25">
      <c r="A75" s="58" t="s">
        <v>394</v>
      </c>
      <c r="B75" s="167"/>
      <c r="C75" s="167"/>
      <c r="D75" s="167">
        <f t="shared" si="24"/>
        <v>0</v>
      </c>
      <c r="E75" s="167"/>
      <c r="F75" s="167"/>
      <c r="G75" s="167">
        <f t="shared" si="25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1042127769.2999998</v>
      </c>
      <c r="C77" s="61">
        <f t="shared" ref="C77:F77" si="26">C43+C9</f>
        <v>300837748.78000003</v>
      </c>
      <c r="D77" s="61">
        <f t="shared" si="26"/>
        <v>1342965518.0799999</v>
      </c>
      <c r="E77" s="61">
        <f t="shared" si="26"/>
        <v>384795141.70999992</v>
      </c>
      <c r="F77" s="61">
        <f t="shared" si="26"/>
        <v>382925800.13999999</v>
      </c>
      <c r="G77" s="61">
        <f>G43+G9</f>
        <v>958170376.37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820050120.29999983</v>
      </c>
      <c r="Q2" s="13">
        <f>'Formato 6 c)'!C9</f>
        <v>210127282.61000001</v>
      </c>
      <c r="R2" s="13">
        <f>'Formato 6 c)'!D9</f>
        <v>1030177402.91</v>
      </c>
      <c r="S2" s="13">
        <f>'Formato 6 c)'!E9</f>
        <v>338765406.31999993</v>
      </c>
      <c r="T2" s="13">
        <f>'Formato 6 c)'!F9</f>
        <v>336896064.75</v>
      </c>
      <c r="U2" s="13">
        <f>'Formato 6 c)'!G9</f>
        <v>691411996.59000003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296511367.54999995</v>
      </c>
      <c r="Q3" s="13">
        <f>'Formato 6 c)'!C10</f>
        <v>15718518.899999999</v>
      </c>
      <c r="R3" s="13">
        <f>'Formato 6 c)'!D10</f>
        <v>312229886.44999999</v>
      </c>
      <c r="S3" s="13">
        <f>'Formato 6 c)'!E10</f>
        <v>95152103.939999998</v>
      </c>
      <c r="T3" s="13">
        <f>'Formato 6 c)'!F10</f>
        <v>94182202.510000005</v>
      </c>
      <c r="U3" s="13">
        <f>'Formato 6 c)'!G10</f>
        <v>217077782.50999999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17995857.280000001</v>
      </c>
      <c r="Q4" s="13">
        <f>'Formato 6 c)'!C11</f>
        <v>130503.62</v>
      </c>
      <c r="R4" s="13">
        <f>'Formato 6 c)'!D11</f>
        <v>18126360.900000002</v>
      </c>
      <c r="S4" s="13">
        <f>'Formato 6 c)'!E11</f>
        <v>8503061.2899999991</v>
      </c>
      <c r="T4" s="13">
        <f>'Formato 6 c)'!F11</f>
        <v>8499267.5600000005</v>
      </c>
      <c r="U4" s="13">
        <f>'Formato 6 c)'!G11</f>
        <v>9623299.6100000031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1450889.24</v>
      </c>
      <c r="Q5" s="13">
        <f>'Formato 6 c)'!C12</f>
        <v>0</v>
      </c>
      <c r="R5" s="13">
        <f>'Formato 6 c)'!D12</f>
        <v>1450889.24</v>
      </c>
      <c r="S5" s="13">
        <f>'Formato 6 c)'!E12</f>
        <v>533785.59999999998</v>
      </c>
      <c r="T5" s="13">
        <f>'Formato 6 c)'!F12</f>
        <v>533785.59999999998</v>
      </c>
      <c r="U5" s="13">
        <f>'Formato 6 c)'!G12</f>
        <v>917103.64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90163099</v>
      </c>
      <c r="Q6" s="13">
        <f>'Formato 6 c)'!C13</f>
        <v>8754033.1099999994</v>
      </c>
      <c r="R6" s="13">
        <f>'Formato 6 c)'!D13</f>
        <v>98917132.109999999</v>
      </c>
      <c r="S6" s="13">
        <f>'Formato 6 c)'!E13</f>
        <v>47459803.100000001</v>
      </c>
      <c r="T6" s="13">
        <f>'Formato 6 c)'!F13</f>
        <v>46786582.090000004</v>
      </c>
      <c r="U6" s="13">
        <f>'Formato 6 c)'!G13</f>
        <v>51457329.009999998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165109085.94999999</v>
      </c>
      <c r="Q8" s="13">
        <f>'Formato 6 c)'!C15</f>
        <v>1715064.14</v>
      </c>
      <c r="R8" s="13">
        <f>'Formato 6 c)'!D15</f>
        <v>166824150.08999997</v>
      </c>
      <c r="S8" s="13">
        <f>'Formato 6 c)'!E15</f>
        <v>24861521.23</v>
      </c>
      <c r="T8" s="13">
        <f>'Formato 6 c)'!F15</f>
        <v>24729215.030000001</v>
      </c>
      <c r="U8" s="13">
        <f>'Formato 6 c)'!G15</f>
        <v>141962628.85999998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21792436.079999998</v>
      </c>
      <c r="Q10" s="13">
        <f>'Formato 6 c)'!C17</f>
        <v>5118918.03</v>
      </c>
      <c r="R10" s="13">
        <f>'Formato 6 c)'!D17</f>
        <v>26911354.109999999</v>
      </c>
      <c r="S10" s="13">
        <f>'Formato 6 c)'!E17</f>
        <v>13793932.720000001</v>
      </c>
      <c r="T10" s="13">
        <f>'Formato 6 c)'!F17</f>
        <v>13633352.23</v>
      </c>
      <c r="U10" s="13">
        <f>'Formato 6 c)'!G17</f>
        <v>13117421.389999999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383935605.57999998</v>
      </c>
      <c r="Q12" s="13">
        <f>'Formato 6 c)'!C19</f>
        <v>184732387.70000002</v>
      </c>
      <c r="R12" s="13">
        <f>'Formato 6 c)'!D19</f>
        <v>568667993.27999997</v>
      </c>
      <c r="S12" s="13">
        <f>'Formato 6 c)'!E19</f>
        <v>184334108.78999996</v>
      </c>
      <c r="T12" s="13">
        <f>'Formato 6 c)'!F19</f>
        <v>183202341.38999996</v>
      </c>
      <c r="U12" s="13">
        <f>'Formato 6 c)'!G19</f>
        <v>384333884.49000007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19548206.989999998</v>
      </c>
      <c r="Q13" s="13">
        <f>'Formato 6 c)'!C20</f>
        <v>7242420.9100000001</v>
      </c>
      <c r="R13" s="13">
        <f>'Formato 6 c)'!D20</f>
        <v>26790627.899999999</v>
      </c>
      <c r="S13" s="13">
        <f>'Formato 6 c)'!E20</f>
        <v>12492267.699999999</v>
      </c>
      <c r="T13" s="13">
        <f>'Formato 6 c)'!F20</f>
        <v>12343065.59</v>
      </c>
      <c r="U13" s="13">
        <f>'Formato 6 c)'!G20</f>
        <v>14298360.199999999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289567905.01999998</v>
      </c>
      <c r="Q14" s="13">
        <f>'Formato 6 c)'!C21</f>
        <v>159176450.68000001</v>
      </c>
      <c r="R14" s="13">
        <f>'Formato 6 c)'!D21</f>
        <v>448744355.69999999</v>
      </c>
      <c r="S14" s="13">
        <f>'Formato 6 c)'!E21</f>
        <v>125736752.84999999</v>
      </c>
      <c r="T14" s="13">
        <f>'Formato 6 c)'!F21</f>
        <v>124910919.55</v>
      </c>
      <c r="U14" s="13">
        <f>'Formato 6 c)'!G21</f>
        <v>323007602.85000002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37301393.289999999</v>
      </c>
      <c r="Q16" s="13">
        <f>'Formato 6 c)'!C23</f>
        <v>15524708.02</v>
      </c>
      <c r="R16" s="13">
        <f>'Formato 6 c)'!D23</f>
        <v>52826101.310000002</v>
      </c>
      <c r="S16" s="13">
        <f>'Formato 6 c)'!E23</f>
        <v>25303159.649999999</v>
      </c>
      <c r="T16" s="13">
        <f>'Formato 6 c)'!F23</f>
        <v>25258009.539999999</v>
      </c>
      <c r="U16" s="13">
        <f>'Formato 6 c)'!G23</f>
        <v>27522941.660000004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31432885.899999999</v>
      </c>
      <c r="Q18" s="13">
        <f>'Formato 6 c)'!C25</f>
        <v>2902808.09</v>
      </c>
      <c r="R18" s="13">
        <f>'Formato 6 c)'!D25</f>
        <v>34335693.989999995</v>
      </c>
      <c r="S18" s="13">
        <f>'Formato 6 c)'!E25</f>
        <v>17215210.449999999</v>
      </c>
      <c r="T18" s="13">
        <f>'Formato 6 c)'!F25</f>
        <v>17103628.57</v>
      </c>
      <c r="U18" s="13">
        <f>'Formato 6 c)'!G25</f>
        <v>17120483.539999995</v>
      </c>
    </row>
    <row r="19" spans="1:21" ht="14.25" x14ac:dyDescent="0.4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6085214.3799999999</v>
      </c>
      <c r="Q19" s="13">
        <f>'Formato 6 c)'!C26</f>
        <v>-114000</v>
      </c>
      <c r="R19" s="13">
        <f>'Formato 6 c)'!D26</f>
        <v>5971214.3799999999</v>
      </c>
      <c r="S19" s="13">
        <f>'Formato 6 c)'!E26</f>
        <v>3586718.14</v>
      </c>
      <c r="T19" s="13">
        <f>'Formato 6 c)'!F26</f>
        <v>3586718.14</v>
      </c>
      <c r="U19" s="13">
        <f>'Formato 6 c)'!G26</f>
        <v>2384496.2399999998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123413277</v>
      </c>
      <c r="Q20" s="13">
        <f>'Formato 6 c)'!C27</f>
        <v>9676376.0099999998</v>
      </c>
      <c r="R20" s="13">
        <f>'Formato 6 c)'!D27</f>
        <v>133089653.01000001</v>
      </c>
      <c r="S20" s="13">
        <f>'Formato 6 c)'!E27</f>
        <v>59279193.590000004</v>
      </c>
      <c r="T20" s="13">
        <f>'Formato 6 c)'!F27</f>
        <v>59511520.849999994</v>
      </c>
      <c r="U20" s="13">
        <f>'Formato 6 c)'!G27</f>
        <v>73810459.420000017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109931851.98</v>
      </c>
      <c r="Q21" s="13">
        <f>'Formato 6 c)'!C28</f>
        <v>9676376.0099999998</v>
      </c>
      <c r="R21" s="13">
        <f>'Formato 6 c)'!D28</f>
        <v>119608227.99000001</v>
      </c>
      <c r="S21" s="13">
        <f>'Formato 6 c)'!E28</f>
        <v>55038481.109999999</v>
      </c>
      <c r="T21" s="13">
        <f>'Formato 6 c)'!F28</f>
        <v>55270808.369999997</v>
      </c>
      <c r="U21" s="13">
        <f>'Formato 6 c)'!G28</f>
        <v>64569746.88000001</v>
      </c>
    </row>
    <row r="22" spans="1:21" ht="14.25" x14ac:dyDescent="0.4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ht="14.25" x14ac:dyDescent="0.4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ht="14.25" x14ac:dyDescent="0.4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ht="14.25" x14ac:dyDescent="0.4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7481425.0199999996</v>
      </c>
      <c r="Q27" s="13">
        <f>'Formato 6 c)'!C34</f>
        <v>0</v>
      </c>
      <c r="R27" s="13">
        <f>'Formato 6 c)'!D34</f>
        <v>7481425.0199999996</v>
      </c>
      <c r="S27" s="13">
        <f>'Formato 6 c)'!E34</f>
        <v>4240712.4800000004</v>
      </c>
      <c r="T27" s="13">
        <f>'Formato 6 c)'!F34</f>
        <v>4240712.4800000004</v>
      </c>
      <c r="U27" s="13">
        <f>'Formato 6 c)'!G34</f>
        <v>3240712.5399999991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6000000</v>
      </c>
      <c r="Q29" s="13">
        <f>'Formato 6 c)'!C36</f>
        <v>0</v>
      </c>
      <c r="R29" s="13">
        <f>'Formato 6 c)'!D36</f>
        <v>6000000</v>
      </c>
      <c r="S29" s="13">
        <f>'Formato 6 c)'!E36</f>
        <v>0</v>
      </c>
      <c r="T29" s="13">
        <f>'Formato 6 c)'!F36</f>
        <v>0</v>
      </c>
      <c r="U29" s="13">
        <f>'Formato 6 c)'!G36</f>
        <v>6000000</v>
      </c>
    </row>
    <row r="30" spans="1:21" ht="14.25" x14ac:dyDescent="0.4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16189870.17</v>
      </c>
      <c r="Q30" s="13">
        <f>'Formato 6 c)'!C37</f>
        <v>0</v>
      </c>
      <c r="R30" s="13">
        <f>'Formato 6 c)'!D37</f>
        <v>16189870.17</v>
      </c>
      <c r="S30" s="13">
        <f>'Formato 6 c)'!E37</f>
        <v>0</v>
      </c>
      <c r="T30" s="13">
        <f>'Formato 6 c)'!F37</f>
        <v>0</v>
      </c>
      <c r="U30" s="13">
        <f>'Formato 6 c)'!G37</f>
        <v>16189870.17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16189870.17</v>
      </c>
      <c r="Q31" s="13">
        <f>'Formato 6 c)'!C38</f>
        <v>0</v>
      </c>
      <c r="R31" s="13">
        <f>'Formato 6 c)'!D38</f>
        <v>16189870.17</v>
      </c>
      <c r="S31" s="13">
        <f>'Formato 6 c)'!E38</f>
        <v>0</v>
      </c>
      <c r="T31" s="13">
        <f>'Formato 6 c)'!F38</f>
        <v>0</v>
      </c>
      <c r="U31" s="13">
        <f>'Formato 6 c)'!G38</f>
        <v>16189870.17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ht="14.25" x14ac:dyDescent="0.4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ht="14.25" x14ac:dyDescent="0.4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ht="14.25" x14ac:dyDescent="0.4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222077649</v>
      </c>
      <c r="Q35" s="13">
        <f>'Formato 6 c)'!C43</f>
        <v>90710466.170000002</v>
      </c>
      <c r="R35" s="13">
        <f>'Formato 6 c)'!D43</f>
        <v>312788115.16999996</v>
      </c>
      <c r="S35" s="13">
        <f>'Formato 6 c)'!E43</f>
        <v>46029735.389999993</v>
      </c>
      <c r="T35" s="13">
        <f>'Formato 6 c)'!F43</f>
        <v>46029735.389999993</v>
      </c>
      <c r="U35" s="13">
        <f>'Formato 6 c)'!G43</f>
        <v>266758379.78</v>
      </c>
    </row>
    <row r="36" spans="1:21" ht="14.25" x14ac:dyDescent="0.4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95462947</v>
      </c>
      <c r="Q36" s="13">
        <f>'Formato 6 c)'!C44</f>
        <v>27809488.379999999</v>
      </c>
      <c r="R36" s="13">
        <f>'Formato 6 c)'!D44</f>
        <v>123272435.38</v>
      </c>
      <c r="S36" s="13">
        <f>'Formato 6 c)'!E44</f>
        <v>40660281.549999997</v>
      </c>
      <c r="T36" s="13">
        <f>'Formato 6 c)'!F44</f>
        <v>40660281.549999997</v>
      </c>
      <c r="U36" s="13">
        <f>'Formato 6 c)'!G44</f>
        <v>82612153.829999998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1613574.58</v>
      </c>
      <c r="Q41" s="13">
        <f>'Formato 6 c)'!C49</f>
        <v>2456710.38</v>
      </c>
      <c r="R41" s="13">
        <f>'Formato 6 c)'!D49</f>
        <v>4070284.96</v>
      </c>
      <c r="S41" s="13">
        <f>'Formato 6 c)'!E49</f>
        <v>0</v>
      </c>
      <c r="T41" s="13">
        <f>'Formato 6 c)'!F49</f>
        <v>0</v>
      </c>
      <c r="U41" s="13">
        <f>'Formato 6 c)'!G49</f>
        <v>4070284.96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93849372.420000002</v>
      </c>
      <c r="Q43" s="13">
        <f>'Formato 6 c)'!C51</f>
        <v>20401630.870000001</v>
      </c>
      <c r="R43" s="13">
        <f>'Formato 6 c)'!D51</f>
        <v>114251003.29000001</v>
      </c>
      <c r="S43" s="13">
        <f>'Formato 6 c)'!E51</f>
        <v>40660281.549999997</v>
      </c>
      <c r="T43" s="13">
        <f>'Formato 6 c)'!F51</f>
        <v>40660281.549999997</v>
      </c>
      <c r="U43" s="13">
        <f>'Formato 6 c)'!G51</f>
        <v>73590721.74000001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4951147.13</v>
      </c>
      <c r="R44" s="13">
        <f>'Formato 6 c)'!D52</f>
        <v>4951147.13</v>
      </c>
      <c r="S44" s="13">
        <f>'Formato 6 c)'!E52</f>
        <v>0</v>
      </c>
      <c r="T44" s="13">
        <f>'Formato 6 c)'!F52</f>
        <v>0</v>
      </c>
      <c r="U44" s="13">
        <f>'Formato 6 c)'!G52</f>
        <v>4951147.13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115081758</v>
      </c>
      <c r="Q45" s="13">
        <f>'Formato 6 c)'!C53</f>
        <v>62900977.790000007</v>
      </c>
      <c r="R45" s="13">
        <f>'Formato 6 c)'!D53</f>
        <v>177982735.78999999</v>
      </c>
      <c r="S45" s="13">
        <f>'Formato 6 c)'!E53</f>
        <v>0</v>
      </c>
      <c r="T45" s="13">
        <f>'Formato 6 c)'!F53</f>
        <v>0</v>
      </c>
      <c r="U45" s="13">
        <f>'Formato 6 c)'!G53</f>
        <v>177982735.78999999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9864434.7300000004</v>
      </c>
      <c r="R46" s="13">
        <f>'Formato 6 c)'!D54</f>
        <v>9864434.7300000004</v>
      </c>
      <c r="S46" s="13">
        <f>'Formato 6 c)'!E54</f>
        <v>0</v>
      </c>
      <c r="T46" s="13">
        <f>'Formato 6 c)'!F54</f>
        <v>0</v>
      </c>
      <c r="U46" s="13">
        <f>'Formato 6 c)'!G54</f>
        <v>9864434.7300000004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115081758</v>
      </c>
      <c r="Q47" s="13">
        <f>'Formato 6 c)'!C55</f>
        <v>35361257.549999997</v>
      </c>
      <c r="R47" s="13">
        <f>'Formato 6 c)'!D55</f>
        <v>150443015.55000001</v>
      </c>
      <c r="S47" s="13">
        <f>'Formato 6 c)'!E55</f>
        <v>0</v>
      </c>
      <c r="T47" s="13">
        <f>'Formato 6 c)'!F55</f>
        <v>0</v>
      </c>
      <c r="U47" s="13">
        <f>'Formato 6 c)'!G55</f>
        <v>150443015.55000001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534078.39</v>
      </c>
      <c r="R49" s="13">
        <f>'Formato 6 c)'!D57</f>
        <v>534078.39</v>
      </c>
      <c r="S49" s="13">
        <f>'Formato 6 c)'!E57</f>
        <v>0</v>
      </c>
      <c r="T49" s="13">
        <f>'Formato 6 c)'!F57</f>
        <v>0</v>
      </c>
      <c r="U49" s="13">
        <f>'Formato 6 c)'!G57</f>
        <v>534078.39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12135003.279999999</v>
      </c>
      <c r="R50" s="13">
        <f>'Formato 6 c)'!D58</f>
        <v>12135003.279999999</v>
      </c>
      <c r="S50" s="13">
        <f>'Formato 6 c)'!E58</f>
        <v>0</v>
      </c>
      <c r="T50" s="13">
        <f>'Formato 6 c)'!F58</f>
        <v>0</v>
      </c>
      <c r="U50" s="13">
        <f>'Formato 6 c)'!G58</f>
        <v>12135003.279999999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5006203.84</v>
      </c>
      <c r="R51" s="13">
        <f>'Formato 6 c)'!D59</f>
        <v>5006203.84</v>
      </c>
      <c r="S51" s="13">
        <f>'Formato 6 c)'!E59</f>
        <v>0</v>
      </c>
      <c r="T51" s="13">
        <f>'Formato 6 c)'!F59</f>
        <v>0</v>
      </c>
      <c r="U51" s="13">
        <f>'Formato 6 c)'!G59</f>
        <v>5006203.84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2000000</v>
      </c>
      <c r="Q53" s="13">
        <f>'Formato 6 c)'!C61</f>
        <v>0</v>
      </c>
      <c r="R53" s="13">
        <f>'Formato 6 c)'!D61</f>
        <v>2000000</v>
      </c>
      <c r="S53" s="13">
        <f>'Formato 6 c)'!E61</f>
        <v>1256044.8</v>
      </c>
      <c r="T53" s="13">
        <f>'Formato 6 c)'!F61</f>
        <v>1256044.8</v>
      </c>
      <c r="U53" s="13">
        <f>'Formato 6 c)'!G61</f>
        <v>743955.2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2000000</v>
      </c>
      <c r="Q54" s="13">
        <f>'Formato 6 c)'!C62</f>
        <v>0</v>
      </c>
      <c r="R54" s="13">
        <f>'Formato 6 c)'!D62</f>
        <v>2000000</v>
      </c>
      <c r="S54" s="13">
        <f>'Formato 6 c)'!E62</f>
        <v>1256044.8</v>
      </c>
      <c r="T54" s="13">
        <f>'Formato 6 c)'!F62</f>
        <v>1256044.8</v>
      </c>
      <c r="U54" s="13">
        <f>'Formato 6 c)'!G62</f>
        <v>743955.2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9532944</v>
      </c>
      <c r="Q63" s="13">
        <f>'Formato 6 c)'!C71</f>
        <v>0</v>
      </c>
      <c r="R63" s="13">
        <f>'Formato 6 c)'!D71</f>
        <v>9532944</v>
      </c>
      <c r="S63" s="13">
        <f>'Formato 6 c)'!E71</f>
        <v>4113409.04</v>
      </c>
      <c r="T63" s="13">
        <f>'Formato 6 c)'!F71</f>
        <v>4113409.04</v>
      </c>
      <c r="U63" s="13">
        <f>'Formato 6 c)'!G71</f>
        <v>5419534.96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9532944</v>
      </c>
      <c r="Q64" s="13">
        <f>'Formato 6 c)'!C72</f>
        <v>0</v>
      </c>
      <c r="R64" s="13">
        <f>'Formato 6 c)'!D72</f>
        <v>9532944</v>
      </c>
      <c r="S64" s="13">
        <f>'Formato 6 c)'!E72</f>
        <v>4113409.04</v>
      </c>
      <c r="T64" s="13">
        <f>'Formato 6 c)'!F72</f>
        <v>4113409.04</v>
      </c>
      <c r="U64" s="13">
        <f>'Formato 6 c)'!G72</f>
        <v>5419534.96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1042127769.2999998</v>
      </c>
      <c r="Q68" s="13">
        <f>'Formato 6 c)'!C77</f>
        <v>300837748.78000003</v>
      </c>
      <c r="R68" s="13">
        <f>'Formato 6 c)'!D77</f>
        <v>1342965518.0799999</v>
      </c>
      <c r="S68" s="13">
        <f>'Formato 6 c)'!E77</f>
        <v>384795141.70999992</v>
      </c>
      <c r="T68" s="13">
        <f>'Formato 6 c)'!F77</f>
        <v>382925800.13999999</v>
      </c>
      <c r="U68" s="13">
        <f>'Formato 6 c)'!G77</f>
        <v>958170376.37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Presidencia Municipal de San Miguel de Allende, Gobierno del Estado de Guanajuato</v>
      </c>
    </row>
    <row r="7" spans="2:3" ht="14.25" x14ac:dyDescent="0.45">
      <c r="C7" t="str">
        <f>CONCATENATE(ENTE_PUBLICO," (a)")</f>
        <v>Presidencia Municipal de San Miguel de Allende,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45">
      <c r="B10" t="s">
        <v>796</v>
      </c>
      <c r="C10" s="18" t="s">
        <v>1160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18">
        <v>2019</v>
      </c>
    </row>
    <row r="14" spans="2:3" ht="14.25" x14ac:dyDescent="0.45">
      <c r="B14" t="s">
        <v>793</v>
      </c>
      <c r="C14" s="18" t="s">
        <v>3303</v>
      </c>
    </row>
    <row r="15" spans="2:3" ht="14.25" x14ac:dyDescent="0.45">
      <c r="C15" s="18">
        <v>2</v>
      </c>
    </row>
    <row r="16" spans="2:3" ht="14.25" x14ac:dyDescent="0.4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57" x14ac:dyDescent="0.45">
      <c r="D20" s="15" t="str">
        <f>CONCATENATE(ANIO_INFORME, " (d)")</f>
        <v>2019 (d)</v>
      </c>
      <c r="E20" s="16" t="str">
        <f>CONCATENATE("31 de diciembre de ",ANIO_INFORME-1, " (e)")</f>
        <v>31 de diciembre de 2018 (e)</v>
      </c>
      <c r="F20" s="25" t="str">
        <f>CONCATENATE("Saldo al 31 de diciembre de ",ANIO_INFORME-1, " (d)")</f>
        <v>Saldo al 31 de diciembre de 2018 (d)</v>
      </c>
    </row>
    <row r="23" spans="4:9" ht="14.25" x14ac:dyDescent="0.45">
      <c r="D23" s="27">
        <f>ANIO_INFORME + 1</f>
        <v>2020</v>
      </c>
      <c r="E23" s="28" t="str">
        <f>CONCATENATE(ANIO_INFORME + 2, " (d)")</f>
        <v>2021 (d)</v>
      </c>
      <c r="F23" s="28" t="str">
        <f>CONCATENATE(ANIO_INFORME + 3, " (d)")</f>
        <v>2022 (d)</v>
      </c>
      <c r="G23" s="28" t="str">
        <f>CONCATENATE(ANIO_INFORME + 4, " (d)")</f>
        <v>2023 (d)</v>
      </c>
      <c r="H23" s="28" t="str">
        <f>CONCATENATE(ANIO_INFORME + 5, " (d)")</f>
        <v>2024 (d)</v>
      </c>
      <c r="I23" s="28" t="str">
        <f>CONCATENATE(ANIO_INFORME + 6, " (d)")</f>
        <v>2025 (d)</v>
      </c>
    </row>
    <row r="25" spans="4:9" x14ac:dyDescent="0.25">
      <c r="D25" s="29" t="str">
        <f>CONCATENATE(ANIO_INFORME - 5, " ",CHAR(185)," (c)")</f>
        <v>2014 ¹ (c)</v>
      </c>
      <c r="E25" s="29" t="str">
        <f>CONCATENATE(ANIO_INFORME - 4, " ",CHAR(185)," (c)")</f>
        <v>2015 ¹ (c)</v>
      </c>
      <c r="F25" s="29" t="str">
        <f>CONCATENATE(ANIO_INFORME - 3, " ",CHAR(185)," (c)")</f>
        <v>2016 ¹ (c)</v>
      </c>
      <c r="G25" s="29" t="str">
        <f>CONCATENATE(ANIO_INFORME - 2, " ",CHAR(185)," (c)")</f>
        <v>2017 ¹ (c)</v>
      </c>
      <c r="H25" s="29" t="str">
        <f>CONCATENATE(ANIO_INFORME - 1, " ",CHAR(185)," (c)")</f>
        <v>2018 ¹ (c)</v>
      </c>
      <c r="I25" s="27">
        <f>ANIO_INFORME</f>
        <v>2019</v>
      </c>
    </row>
    <row r="26" spans="4:9" ht="14.25" x14ac:dyDescent="0.45">
      <c r="D26" s="76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13">
        <v>-1.7976931348623099E+100</v>
      </c>
      <c r="E30" s="113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D27" sqref="D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2" t="s">
        <v>3287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399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junio de 2019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361</v>
      </c>
      <c r="B7" s="143" t="s">
        <v>279</v>
      </c>
      <c r="C7" s="143"/>
      <c r="D7" s="143"/>
      <c r="E7" s="143"/>
      <c r="F7" s="143"/>
      <c r="G7" s="143" t="s">
        <v>280</v>
      </c>
    </row>
    <row r="8" spans="1:7" ht="29.25" customHeight="1" x14ac:dyDescent="0.25">
      <c r="A8" s="13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8"/>
    </row>
    <row r="9" spans="1:7" ht="14.25" x14ac:dyDescent="0.45">
      <c r="A9" s="44" t="s">
        <v>400</v>
      </c>
      <c r="B9" s="55">
        <f>SUM(B10,B11,B12,B15,B16,B19)</f>
        <v>163067959.83000001</v>
      </c>
      <c r="C9" s="55">
        <f t="shared" ref="C9:F9" si="0">SUM(C10,C11,C12,C15,C16,C19)</f>
        <v>3261164.22</v>
      </c>
      <c r="D9" s="55">
        <f t="shared" si="0"/>
        <v>166329124.05000001</v>
      </c>
      <c r="E9" s="55">
        <f t="shared" si="0"/>
        <v>77348544.700000003</v>
      </c>
      <c r="F9" s="55">
        <f t="shared" si="0"/>
        <v>77348544.700000003</v>
      </c>
      <c r="G9" s="55">
        <f>SUM(G10,G11,G12,G15,G16,G19)</f>
        <v>88980579.350000009</v>
      </c>
    </row>
    <row r="10" spans="1:7" x14ac:dyDescent="0.25">
      <c r="A10" s="45" t="s">
        <v>401</v>
      </c>
      <c r="B10" s="168">
        <v>163067959.83000001</v>
      </c>
      <c r="C10" s="168">
        <v>3261164.22</v>
      </c>
      <c r="D10" s="169">
        <f>B10+C10</f>
        <v>166329124.05000001</v>
      </c>
      <c r="E10" s="168">
        <v>77348544.700000003</v>
      </c>
      <c r="F10" s="168">
        <v>77348544.700000003</v>
      </c>
      <c r="G10" s="169">
        <f>D10-E10</f>
        <v>88980579.350000009</v>
      </c>
    </row>
    <row r="11" spans="1:7" x14ac:dyDescent="0.25">
      <c r="A11" s="45" t="s">
        <v>402</v>
      </c>
      <c r="B11" s="169"/>
      <c r="C11" s="169"/>
      <c r="D11" s="169">
        <f>B11+C11</f>
        <v>0</v>
      </c>
      <c r="E11" s="169"/>
      <c r="F11" s="169"/>
      <c r="G11" s="169">
        <f>D11-E11</f>
        <v>0</v>
      </c>
    </row>
    <row r="12" spans="1:7" ht="14.25" x14ac:dyDescent="0.4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x14ac:dyDescent="0.25">
      <c r="A13" s="53" t="s">
        <v>404</v>
      </c>
      <c r="B13" s="169"/>
      <c r="C13" s="169"/>
      <c r="D13" s="169">
        <f>B13+C13</f>
        <v>0</v>
      </c>
      <c r="E13" s="169"/>
      <c r="F13" s="169"/>
      <c r="G13" s="169">
        <f>D13-E13</f>
        <v>0</v>
      </c>
    </row>
    <row r="14" spans="1:7" x14ac:dyDescent="0.25">
      <c r="A14" s="53" t="s">
        <v>405</v>
      </c>
      <c r="B14" s="169"/>
      <c r="C14" s="169"/>
      <c r="D14" s="169">
        <f>B14+C14</f>
        <v>0</v>
      </c>
      <c r="E14" s="169"/>
      <c r="F14" s="169"/>
      <c r="G14" s="169">
        <f>D14-E14</f>
        <v>0</v>
      </c>
    </row>
    <row r="15" spans="1:7" x14ac:dyDescent="0.25">
      <c r="A15" s="45" t="s">
        <v>406</v>
      </c>
      <c r="B15" s="169"/>
      <c r="C15" s="169"/>
      <c r="D15" s="169">
        <f>B15+C15</f>
        <v>0</v>
      </c>
      <c r="E15" s="169"/>
      <c r="F15" s="169"/>
      <c r="G15" s="169">
        <f>D15-E15</f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x14ac:dyDescent="0.25">
      <c r="A17" s="53" t="s">
        <v>408</v>
      </c>
      <c r="B17" s="169"/>
      <c r="C17" s="169"/>
      <c r="D17" s="169">
        <f>B17+C17</f>
        <v>0</v>
      </c>
      <c r="E17" s="169"/>
      <c r="F17" s="169"/>
      <c r="G17" s="169">
        <f>D17-E17</f>
        <v>0</v>
      </c>
    </row>
    <row r="18" spans="1:7" x14ac:dyDescent="0.25">
      <c r="A18" s="53" t="s">
        <v>409</v>
      </c>
      <c r="B18" s="169"/>
      <c r="C18" s="169"/>
      <c r="D18" s="169">
        <f>B18+C18</f>
        <v>0</v>
      </c>
      <c r="E18" s="169"/>
      <c r="F18" s="169"/>
      <c r="G18" s="169">
        <f>D18-E18</f>
        <v>0</v>
      </c>
    </row>
    <row r="19" spans="1:7" x14ac:dyDescent="0.25">
      <c r="A19" s="45" t="s">
        <v>410</v>
      </c>
      <c r="B19" s="169"/>
      <c r="C19" s="169"/>
      <c r="D19" s="169">
        <f>B19+C19</f>
        <v>0</v>
      </c>
      <c r="E19" s="169"/>
      <c r="F19" s="169"/>
      <c r="G19" s="169">
        <f>D19-E19</f>
        <v>0</v>
      </c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84927750.819999993</v>
      </c>
      <c r="C21" s="55">
        <f t="shared" ref="C21:F21" si="3">SUM(C22,C23,C24,C27,C28,C31)</f>
        <v>0</v>
      </c>
      <c r="D21" s="55">
        <f t="shared" si="3"/>
        <v>84927750.819999993</v>
      </c>
      <c r="E21" s="55">
        <f t="shared" si="3"/>
        <v>37985897.210000001</v>
      </c>
      <c r="F21" s="55">
        <f t="shared" si="3"/>
        <v>37985897.210000001</v>
      </c>
      <c r="G21" s="55">
        <f>SUM(G22,G23,G24,G27,G28,G31)</f>
        <v>46941853.609999992</v>
      </c>
    </row>
    <row r="22" spans="1:7" s="18" customFormat="1" x14ac:dyDescent="0.25">
      <c r="A22" s="45" t="s">
        <v>401</v>
      </c>
      <c r="B22" s="168">
        <v>84927750.819999993</v>
      </c>
      <c r="C22" s="168">
        <v>0</v>
      </c>
      <c r="D22" s="169">
        <f>B22+C22</f>
        <v>84927750.819999993</v>
      </c>
      <c r="E22" s="168">
        <v>37985897.210000001</v>
      </c>
      <c r="F22" s="168">
        <v>37985897.210000001</v>
      </c>
      <c r="G22" s="169">
        <f>D22-E22</f>
        <v>46941853.609999992</v>
      </c>
    </row>
    <row r="23" spans="1:7" s="18" customFormat="1" x14ac:dyDescent="0.25">
      <c r="A23" s="45" t="s">
        <v>402</v>
      </c>
      <c r="B23" s="169"/>
      <c r="C23" s="169"/>
      <c r="D23" s="169">
        <f>B23+C23</f>
        <v>0</v>
      </c>
      <c r="E23" s="169"/>
      <c r="F23" s="169"/>
      <c r="G23" s="169">
        <f>D23-E23</f>
        <v>0</v>
      </c>
    </row>
    <row r="24" spans="1:7" s="18" customFormat="1" ht="14.25" x14ac:dyDescent="0.4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169"/>
      <c r="C25" s="169"/>
      <c r="D25" s="169">
        <f>B25+C25</f>
        <v>0</v>
      </c>
      <c r="E25" s="169"/>
      <c r="F25" s="169"/>
      <c r="G25" s="169">
        <f>D25-E25</f>
        <v>0</v>
      </c>
    </row>
    <row r="26" spans="1:7" s="18" customFormat="1" x14ac:dyDescent="0.25">
      <c r="A26" s="53" t="s">
        <v>405</v>
      </c>
      <c r="B26" s="169"/>
      <c r="C26" s="169"/>
      <c r="D26" s="169">
        <f>B26+C26</f>
        <v>0</v>
      </c>
      <c r="E26" s="169"/>
      <c r="F26" s="169"/>
      <c r="G26" s="169">
        <f>D26-E26</f>
        <v>0</v>
      </c>
    </row>
    <row r="27" spans="1:7" s="18" customFormat="1" x14ac:dyDescent="0.25">
      <c r="A27" s="45" t="s">
        <v>406</v>
      </c>
      <c r="B27" s="169"/>
      <c r="C27" s="169"/>
      <c r="D27" s="169"/>
      <c r="E27" s="169"/>
      <c r="F27" s="169"/>
      <c r="G27" s="169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169"/>
      <c r="C29" s="169"/>
      <c r="D29" s="169">
        <f>B29+C29</f>
        <v>0</v>
      </c>
      <c r="E29" s="169"/>
      <c r="F29" s="169"/>
      <c r="G29" s="169">
        <f>D29-E29</f>
        <v>0</v>
      </c>
    </row>
    <row r="30" spans="1:7" s="18" customFormat="1" x14ac:dyDescent="0.25">
      <c r="A30" s="53" t="s">
        <v>409</v>
      </c>
      <c r="B30" s="169"/>
      <c r="C30" s="169"/>
      <c r="D30" s="169">
        <f>B30+C30</f>
        <v>0</v>
      </c>
      <c r="E30" s="169"/>
      <c r="F30" s="169"/>
      <c r="G30" s="169">
        <f>D30-E30</f>
        <v>0</v>
      </c>
    </row>
    <row r="31" spans="1:7" s="18" customFormat="1" x14ac:dyDescent="0.25">
      <c r="A31" s="45" t="s">
        <v>410</v>
      </c>
      <c r="B31" s="169"/>
      <c r="C31" s="169"/>
      <c r="D31" s="169">
        <f>B31+C31</f>
        <v>0</v>
      </c>
      <c r="E31" s="169"/>
      <c r="F31" s="169"/>
      <c r="G31" s="169">
        <f>D31-E31</f>
        <v>0</v>
      </c>
    </row>
    <row r="32" spans="1:7" ht="14.25" x14ac:dyDescent="0.45">
      <c r="A32" s="46"/>
      <c r="B32" s="57"/>
      <c r="C32" s="57"/>
      <c r="D32" s="57"/>
      <c r="E32" s="57"/>
      <c r="F32" s="57"/>
      <c r="G32" s="57"/>
    </row>
    <row r="33" spans="1:7" ht="14.25" x14ac:dyDescent="0.45">
      <c r="A33" s="47" t="s">
        <v>412</v>
      </c>
      <c r="B33" s="55">
        <f>B21+B9</f>
        <v>247995710.65000001</v>
      </c>
      <c r="C33" s="55">
        <f t="shared" ref="C33:G33" si="6">C21+C9</f>
        <v>3261164.22</v>
      </c>
      <c r="D33" s="55">
        <f t="shared" si="6"/>
        <v>251256874.87</v>
      </c>
      <c r="E33" s="55">
        <f t="shared" si="6"/>
        <v>115334441.91</v>
      </c>
      <c r="F33" s="55">
        <f t="shared" si="6"/>
        <v>115334441.91</v>
      </c>
      <c r="G33" s="55">
        <f t="shared" si="6"/>
        <v>135922432.96000001</v>
      </c>
    </row>
    <row r="34" spans="1:7" ht="14.25" x14ac:dyDescent="0.4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163067959.83000001</v>
      </c>
      <c r="Q2" s="13">
        <f>'Formato 6 d)'!C9</f>
        <v>3261164.22</v>
      </c>
      <c r="R2" s="13">
        <f>'Formato 6 d)'!D9</f>
        <v>166329124.05000001</v>
      </c>
      <c r="S2" s="13">
        <f>'Formato 6 d)'!E9</f>
        <v>77348544.700000003</v>
      </c>
      <c r="T2" s="13">
        <f>'Formato 6 d)'!F9</f>
        <v>77348544.700000003</v>
      </c>
      <c r="U2" s="13">
        <f>'Formato 6 d)'!G9</f>
        <v>88980579.350000009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163067959.83000001</v>
      </c>
      <c r="Q3" s="13">
        <f>'Formato 6 d)'!C10</f>
        <v>3261164.22</v>
      </c>
      <c r="R3" s="13">
        <f>'Formato 6 d)'!D10</f>
        <v>166329124.05000001</v>
      </c>
      <c r="S3" s="13">
        <f>'Formato 6 d)'!E10</f>
        <v>77348544.700000003</v>
      </c>
      <c r="T3" s="13">
        <f>'Formato 6 d)'!F10</f>
        <v>77348544.700000003</v>
      </c>
      <c r="U3" s="13">
        <f>'Formato 6 d)'!G10</f>
        <v>88980579.350000009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84927750.819999993</v>
      </c>
      <c r="Q13" s="13">
        <f>'Formato 6 d)'!C21</f>
        <v>0</v>
      </c>
      <c r="R13" s="13">
        <f>'Formato 6 d)'!D21</f>
        <v>84927750.819999993</v>
      </c>
      <c r="S13" s="13">
        <f>'Formato 6 d)'!E21</f>
        <v>37985897.210000001</v>
      </c>
      <c r="T13" s="13">
        <f>'Formato 6 d)'!F21</f>
        <v>37985897.210000001</v>
      </c>
      <c r="U13" s="13">
        <f>'Formato 6 d)'!G21</f>
        <v>46941853.609999992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84927750.819999993</v>
      </c>
      <c r="Q14" s="13">
        <f>'Formato 6 d)'!C22</f>
        <v>0</v>
      </c>
      <c r="R14" s="13">
        <f>'Formato 6 d)'!D22</f>
        <v>84927750.819999993</v>
      </c>
      <c r="S14" s="13">
        <f>'Formato 6 d)'!E22</f>
        <v>37985897.210000001</v>
      </c>
      <c r="T14" s="13">
        <f>'Formato 6 d)'!F22</f>
        <v>37985897.210000001</v>
      </c>
      <c r="U14" s="13">
        <f>'Formato 6 d)'!G22</f>
        <v>46941853.609999992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4.25" x14ac:dyDescent="0.4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ht="14.25" x14ac:dyDescent="0.4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ht="14.25" x14ac:dyDescent="0.4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247995710.65000001</v>
      </c>
      <c r="Q24" s="13">
        <f>'Formato 6 d)'!C33</f>
        <v>3261164.22</v>
      </c>
      <c r="R24" s="13">
        <f>'Formato 6 d)'!D33</f>
        <v>251256874.87</v>
      </c>
      <c r="S24" s="13">
        <f>'Formato 6 d)'!E33</f>
        <v>115334441.91</v>
      </c>
      <c r="T24" s="13">
        <f>'Formato 6 d)'!F33</f>
        <v>115334441.91</v>
      </c>
      <c r="U24" s="13">
        <f>'Formato 6 d)'!G33</f>
        <v>135922432.96000001</v>
      </c>
    </row>
    <row r="25" spans="1:21" ht="14.25" x14ac:dyDescent="0.45">
      <c r="P25" s="13"/>
      <c r="Q25" s="13"/>
      <c r="R25" s="13"/>
      <c r="S25" s="13"/>
      <c r="T25" s="13"/>
      <c r="U25" s="13"/>
    </row>
    <row r="26" spans="1:21" ht="14.25" x14ac:dyDescent="0.45">
      <c r="P26" s="13"/>
      <c r="Q26" s="13"/>
      <c r="R26" s="13"/>
      <c r="S26" s="13"/>
      <c r="T26" s="13"/>
      <c r="U26" s="13"/>
    </row>
    <row r="27" spans="1:21" ht="14.25" x14ac:dyDescent="0.45">
      <c r="P27" s="13"/>
      <c r="Q27" s="13"/>
      <c r="R27" s="13"/>
      <c r="S27" s="13"/>
      <c r="T27" s="13"/>
      <c r="U27" s="13"/>
    </row>
    <row r="28" spans="1:21" ht="14.25" x14ac:dyDescent="0.45">
      <c r="P28" s="13"/>
      <c r="Q28" s="13"/>
      <c r="R28" s="13"/>
      <c r="S28" s="13"/>
      <c r="T28" s="13"/>
      <c r="U28" s="13"/>
    </row>
    <row r="29" spans="1:21" ht="14.25" x14ac:dyDescent="0.45">
      <c r="P29" s="13"/>
      <c r="Q29" s="13"/>
      <c r="R29" s="13"/>
      <c r="S29" s="13"/>
      <c r="T29" s="13"/>
      <c r="U29" s="13"/>
    </row>
    <row r="30" spans="1:21" ht="14.25" x14ac:dyDescent="0.45">
      <c r="P30" s="13"/>
      <c r="Q30" s="13"/>
      <c r="R30" s="13"/>
      <c r="S30" s="13"/>
      <c r="T30" s="13"/>
      <c r="U30" s="13"/>
    </row>
    <row r="31" spans="1:21" ht="14.25" x14ac:dyDescent="0.45">
      <c r="P31" s="13"/>
      <c r="Q31" s="13"/>
      <c r="R31" s="13"/>
      <c r="S31" s="13"/>
      <c r="T31" s="13"/>
      <c r="U31" s="13"/>
    </row>
    <row r="32" spans="1:21" ht="14.25" x14ac:dyDescent="0.45">
      <c r="P32" s="13"/>
      <c r="Q32" s="13"/>
      <c r="R32" s="13"/>
      <c r="S32" s="13"/>
      <c r="T32" s="13"/>
      <c r="U32" s="13"/>
    </row>
    <row r="33" spans="16:21" ht="14.25" x14ac:dyDescent="0.45">
      <c r="P33" s="13"/>
      <c r="Q33" s="13"/>
      <c r="R33" s="13"/>
      <c r="S33" s="13"/>
      <c r="T33" s="13"/>
      <c r="U33" s="13"/>
    </row>
    <row r="34" spans="16:21" ht="14.25" x14ac:dyDescent="0.45">
      <c r="P34" s="13"/>
      <c r="Q34" s="13"/>
      <c r="R34" s="13"/>
      <c r="S34" s="13"/>
      <c r="T34" s="13"/>
      <c r="U34" s="13"/>
    </row>
    <row r="35" spans="16:21" ht="14.25" x14ac:dyDescent="0.45">
      <c r="P35" s="13"/>
      <c r="Q35" s="13"/>
      <c r="R35" s="13"/>
      <c r="S35" s="13"/>
      <c r="T35" s="13"/>
      <c r="U35" s="13"/>
    </row>
    <row r="36" spans="16:21" ht="14.25" x14ac:dyDescent="0.4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E35" sqref="E3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413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San Miguel de Allende,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414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38" t="s">
        <v>3288</v>
      </c>
      <c r="B6" s="43">
        <f>ANIO1P</f>
        <v>2020</v>
      </c>
      <c r="C6" s="149" t="str">
        <f>ANIO2P</f>
        <v>2021 (d)</v>
      </c>
      <c r="D6" s="149" t="str">
        <f>ANIO3P</f>
        <v>2022 (d)</v>
      </c>
      <c r="E6" s="149" t="str">
        <f>ANIO4P</f>
        <v>2023 (d)</v>
      </c>
      <c r="F6" s="149" t="str">
        <f>ANIO5P</f>
        <v>2024 (d)</v>
      </c>
      <c r="G6" s="149" t="str">
        <f>ANIO6P</f>
        <v>2025 (d)</v>
      </c>
    </row>
    <row r="7" spans="1:7" ht="48" customHeight="1" x14ac:dyDescent="0.25">
      <c r="A7" s="139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421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/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/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ht="14.25" x14ac:dyDescent="0.45">
      <c r="A18" s="45" t="s">
        <v>240</v>
      </c>
      <c r="B18" s="50"/>
      <c r="C18" s="50"/>
      <c r="D18" s="50"/>
      <c r="E18" s="50"/>
      <c r="F18" s="50"/>
      <c r="G18" s="50"/>
    </row>
    <row r="19" spans="1:7" ht="14.25" x14ac:dyDescent="0.4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ht="14.25" x14ac:dyDescent="0.45">
      <c r="A21" s="46"/>
      <c r="B21" s="46"/>
      <c r="C21" s="46"/>
      <c r="D21" s="46"/>
      <c r="E21" s="46"/>
      <c r="F21" s="46"/>
      <c r="G21" s="46"/>
    </row>
    <row r="22" spans="1:7" ht="14.25" x14ac:dyDescent="0.4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ht="14.25" x14ac:dyDescent="0.45">
      <c r="A23" s="45" t="s">
        <v>423</v>
      </c>
      <c r="B23" s="50"/>
      <c r="C23" s="50"/>
      <c r="D23" s="50"/>
      <c r="E23" s="50"/>
      <c r="F23" s="50"/>
      <c r="G23" s="50"/>
    </row>
    <row r="24" spans="1:7" ht="14.25" x14ac:dyDescent="0.45">
      <c r="A24" s="45" t="s">
        <v>424</v>
      </c>
      <c r="B24" s="50"/>
      <c r="C24" s="50"/>
      <c r="D24" s="50"/>
      <c r="E24" s="50"/>
      <c r="F24" s="50"/>
      <c r="G24" s="50"/>
    </row>
    <row r="25" spans="1:7" ht="14.25" x14ac:dyDescent="0.45">
      <c r="A25" s="45" t="s">
        <v>425</v>
      </c>
      <c r="B25" s="50"/>
      <c r="C25" s="50"/>
      <c r="D25" s="50"/>
      <c r="E25" s="50"/>
      <c r="F25" s="50"/>
      <c r="G25" s="50"/>
    </row>
    <row r="26" spans="1:7" ht="14.25" x14ac:dyDescent="0.45">
      <c r="A26" s="45" t="s">
        <v>265</v>
      </c>
      <c r="B26" s="50"/>
      <c r="C26" s="50"/>
      <c r="D26" s="50"/>
      <c r="E26" s="50"/>
      <c r="F26" s="50"/>
      <c r="G26" s="50"/>
    </row>
    <row r="27" spans="1:7" ht="14.25" x14ac:dyDescent="0.45">
      <c r="A27" s="45" t="s">
        <v>266</v>
      </c>
      <c r="B27" s="50"/>
      <c r="C27" s="50"/>
      <c r="D27" s="50"/>
      <c r="E27" s="50"/>
      <c r="F27" s="50"/>
      <c r="G27" s="50"/>
    </row>
    <row r="28" spans="1:7" ht="14.25" x14ac:dyDescent="0.45">
      <c r="A28" s="46"/>
      <c r="B28" s="46"/>
      <c r="C28" s="46"/>
      <c r="D28" s="46"/>
      <c r="E28" s="46"/>
      <c r="F28" s="46"/>
      <c r="G28" s="46"/>
    </row>
    <row r="29" spans="1:7" ht="14.25" x14ac:dyDescent="0.4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ht="14.25" x14ac:dyDescent="0.45">
      <c r="A30" s="45" t="s">
        <v>269</v>
      </c>
      <c r="B30" s="50"/>
      <c r="C30" s="50"/>
      <c r="D30" s="50"/>
      <c r="E30" s="50"/>
      <c r="F30" s="50"/>
      <c r="G30" s="50"/>
    </row>
    <row r="31" spans="1:7" ht="14.25" x14ac:dyDescent="0.45">
      <c r="A31" s="46"/>
      <c r="B31" s="46"/>
      <c r="C31" s="46"/>
      <c r="D31" s="46"/>
      <c r="E31" s="46"/>
      <c r="F31" s="46"/>
      <c r="G31" s="46"/>
    </row>
    <row r="32" spans="1:7" ht="14.25" x14ac:dyDescent="0.45">
      <c r="A32" s="9" t="s">
        <v>427</v>
      </c>
      <c r="B32" s="51">
        <f>B29+B22+B8</f>
        <v>0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ht="14.25" x14ac:dyDescent="0.45">
      <c r="A33" s="46"/>
      <c r="B33" s="46"/>
      <c r="C33" s="46"/>
      <c r="D33" s="46"/>
      <c r="E33" s="46"/>
      <c r="F33" s="46"/>
      <c r="G33" s="46"/>
    </row>
    <row r="34" spans="1:7" ht="14.25" x14ac:dyDescent="0.4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28.5" x14ac:dyDescent="0.45">
      <c r="A36" s="48" t="s">
        <v>273</v>
      </c>
      <c r="B36" s="50"/>
      <c r="C36" s="50"/>
      <c r="D36" s="50"/>
      <c r="E36" s="50"/>
      <c r="F36" s="50"/>
      <c r="G36" s="50"/>
    </row>
    <row r="37" spans="1:7" ht="14.25" x14ac:dyDescent="0.4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ht="14.25" x14ac:dyDescent="0.4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0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ht="14.25" x14ac:dyDescent="0.45">
      <c r="P28" s="13"/>
      <c r="Q28" s="13"/>
      <c r="R28" s="13"/>
      <c r="S28" s="13"/>
      <c r="T28" s="13"/>
      <c r="U28" s="13"/>
    </row>
    <row r="29" spans="1:21" ht="14.25" x14ac:dyDescent="0.45">
      <c r="P29" s="13"/>
      <c r="Q29" s="13"/>
      <c r="R29" s="13"/>
      <c r="S29" s="13"/>
      <c r="T29" s="13"/>
      <c r="U29" s="13"/>
    </row>
    <row r="30" spans="1:21" ht="14.25" x14ac:dyDescent="0.45">
      <c r="P30" s="13"/>
      <c r="Q30" s="13"/>
      <c r="R30" s="13"/>
      <c r="S30" s="13"/>
      <c r="T30" s="13"/>
      <c r="U30" s="13"/>
    </row>
    <row r="31" spans="1:21" ht="14.25" x14ac:dyDescent="0.45">
      <c r="P31" s="13"/>
      <c r="Q31" s="13"/>
      <c r="R31" s="13"/>
      <c r="S31" s="13"/>
      <c r="T31" s="13"/>
      <c r="U31" s="13"/>
    </row>
    <row r="32" spans="1:21" ht="14.25" x14ac:dyDescent="0.45">
      <c r="P32" s="13"/>
      <c r="Q32" s="13"/>
      <c r="R32" s="13"/>
      <c r="S32" s="13"/>
      <c r="T32" s="13"/>
      <c r="U32" s="13"/>
    </row>
    <row r="33" spans="16:21" ht="14.25" x14ac:dyDescent="0.45">
      <c r="P33" s="13"/>
      <c r="Q33" s="13"/>
      <c r="R33" s="13"/>
      <c r="S33" s="13"/>
      <c r="T33" s="13"/>
      <c r="U33" s="13"/>
    </row>
    <row r="34" spans="16:21" ht="14.25" x14ac:dyDescent="0.45">
      <c r="P34" s="13"/>
      <c r="Q34" s="13"/>
      <c r="R34" s="13"/>
      <c r="S34" s="13"/>
      <c r="T34" s="13"/>
      <c r="U34" s="13"/>
    </row>
    <row r="35" spans="16:21" ht="14.25" x14ac:dyDescent="0.45">
      <c r="P35" s="13"/>
      <c r="Q35" s="13"/>
      <c r="R35" s="13"/>
      <c r="S35" s="13"/>
      <c r="T35" s="13"/>
      <c r="U35" s="13"/>
    </row>
    <row r="36" spans="16:21" ht="14.25" x14ac:dyDescent="0.4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451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San Miguel de Allende,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452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51" t="s">
        <v>3142</v>
      </c>
      <c r="B6" s="43">
        <f>ANIO1P</f>
        <v>2020</v>
      </c>
      <c r="C6" s="149" t="str">
        <f>ANIO2P</f>
        <v>2021 (d)</v>
      </c>
      <c r="D6" s="149" t="str">
        <f>ANIO3P</f>
        <v>2022 (d)</v>
      </c>
      <c r="E6" s="149" t="str">
        <f>ANIO4P</f>
        <v>2023 (d)</v>
      </c>
      <c r="F6" s="149" t="str">
        <f>ANIO5P</f>
        <v>2024 (d)</v>
      </c>
      <c r="G6" s="149" t="str">
        <f>ANIO6P</f>
        <v>2025 (d)</v>
      </c>
    </row>
    <row r="7" spans="1:7" ht="48" customHeight="1" x14ac:dyDescent="0.25">
      <c r="A7" s="152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/>
      <c r="C9" s="50"/>
      <c r="D9" s="50"/>
      <c r="E9" s="50"/>
      <c r="F9" s="50"/>
      <c r="G9" s="50"/>
    </row>
    <row r="10" spans="1:7" x14ac:dyDescent="0.25">
      <c r="A10" s="45" t="s">
        <v>455</v>
      </c>
      <c r="B10" s="50"/>
      <c r="C10" s="50"/>
      <c r="D10" s="50"/>
      <c r="E10" s="50"/>
      <c r="F10" s="50"/>
      <c r="G10" s="50"/>
    </row>
    <row r="11" spans="1:7" x14ac:dyDescent="0.25">
      <c r="A11" s="45" t="s">
        <v>456</v>
      </c>
      <c r="B11" s="50"/>
      <c r="C11" s="50"/>
      <c r="D11" s="50"/>
      <c r="E11" s="50"/>
      <c r="F11" s="50"/>
      <c r="G11" s="50"/>
    </row>
    <row r="12" spans="1:7" x14ac:dyDescent="0.25">
      <c r="A12" s="45" t="s">
        <v>457</v>
      </c>
      <c r="B12" s="50"/>
      <c r="C12" s="50"/>
      <c r="D12" s="50"/>
      <c r="E12" s="50"/>
      <c r="F12" s="50"/>
      <c r="G12" s="50"/>
    </row>
    <row r="13" spans="1:7" x14ac:dyDescent="0.25">
      <c r="A13" s="45" t="s">
        <v>458</v>
      </c>
      <c r="B13" s="50"/>
      <c r="C13" s="50"/>
      <c r="D13" s="50"/>
      <c r="E13" s="50"/>
      <c r="F13" s="50"/>
      <c r="G13" s="50"/>
    </row>
    <row r="14" spans="1:7" x14ac:dyDescent="0.25">
      <c r="A14" s="45" t="s">
        <v>459</v>
      </c>
      <c r="B14" s="50"/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ht="14.25" x14ac:dyDescent="0.4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ht="14.25" x14ac:dyDescent="0.4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0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ht="14.25" x14ac:dyDescent="0.4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0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abSelected="1" topLeftCell="A2" zoomScale="90" zoomScaleNormal="90" workbookViewId="0">
      <selection activeCell="F23" sqref="F2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466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San Miguel de Allende,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467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6" t="s">
        <v>3288</v>
      </c>
      <c r="B5" s="154" t="str">
        <f>ANIO5R</f>
        <v>2014 ¹ (c)</v>
      </c>
      <c r="C5" s="154" t="str">
        <f>ANIO4R</f>
        <v>2015 ¹ (c)</v>
      </c>
      <c r="D5" s="154" t="str">
        <f>ANIO3R</f>
        <v>2016 ¹ (c)</v>
      </c>
      <c r="E5" s="154" t="str">
        <f>ANIO2R</f>
        <v>2017 ¹ (c)</v>
      </c>
      <c r="F5" s="154" t="str">
        <f>ANIO1R</f>
        <v>2018 ¹ (c)</v>
      </c>
      <c r="G5" s="43">
        <f>ANIO_INFORME</f>
        <v>2019</v>
      </c>
    </row>
    <row r="6" spans="1:7" ht="32.1" customHeight="1" x14ac:dyDescent="0.25">
      <c r="A6" s="144"/>
      <c r="B6" s="155"/>
      <c r="C6" s="155"/>
      <c r="D6" s="155"/>
      <c r="E6" s="155"/>
      <c r="F6" s="155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/>
      <c r="G12" s="50"/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/>
      <c r="G14" s="50"/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/>
      <c r="G17" s="50"/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ht="14.25" x14ac:dyDescent="0.4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ht="14.25" x14ac:dyDescent="0.45">
      <c r="A29" s="45" t="s">
        <v>269</v>
      </c>
      <c r="B29" s="50"/>
      <c r="C29" s="50"/>
      <c r="D29" s="50"/>
      <c r="E29" s="50"/>
      <c r="F29" s="50"/>
      <c r="G29" s="50"/>
    </row>
    <row r="30" spans="1:7" ht="14.25" x14ac:dyDescent="0.4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</row>
    <row r="32" spans="1:7" ht="14.25" x14ac:dyDescent="0.45">
      <c r="A32" s="46"/>
      <c r="B32" s="46"/>
      <c r="C32" s="46"/>
      <c r="D32" s="46"/>
      <c r="E32" s="46"/>
      <c r="F32" s="46"/>
      <c r="G32" s="46"/>
    </row>
    <row r="33" spans="1:7" ht="14.25" x14ac:dyDescent="0.4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/>
      <c r="G34" s="50"/>
    </row>
    <row r="35" spans="1:7" ht="14.25" x14ac:dyDescent="0.45">
      <c r="A35" s="48" t="s">
        <v>488</v>
      </c>
      <c r="B35" s="50"/>
      <c r="C35" s="50"/>
      <c r="D35" s="50"/>
      <c r="E35" s="50"/>
      <c r="F35" s="50"/>
      <c r="G35" s="50"/>
    </row>
    <row r="36" spans="1:7" ht="14.25" x14ac:dyDescent="0.4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ht="14.25" x14ac:dyDescent="0.45">
      <c r="A37" s="49"/>
      <c r="B37" s="49"/>
      <c r="C37" s="49"/>
      <c r="D37" s="49"/>
      <c r="E37" s="49"/>
      <c r="F37" s="49"/>
      <c r="G37" s="49"/>
    </row>
    <row r="38" spans="1:7" ht="14.25" x14ac:dyDescent="0.45">
      <c r="A38" s="74"/>
    </row>
    <row r="39" spans="1:7" ht="15" customHeight="1" x14ac:dyDescent="0.45">
      <c r="A39" s="153" t="s">
        <v>3292</v>
      </c>
      <c r="B39" s="153"/>
      <c r="C39" s="153"/>
      <c r="D39" s="153"/>
      <c r="E39" s="153"/>
      <c r="F39" s="153"/>
      <c r="G39" s="153"/>
    </row>
    <row r="40" spans="1:7" ht="15" customHeight="1" x14ac:dyDescent="0.25">
      <c r="A40" s="153" t="s">
        <v>3293</v>
      </c>
      <c r="B40" s="153"/>
      <c r="C40" s="153"/>
      <c r="D40" s="153"/>
      <c r="E40" s="153"/>
      <c r="F40" s="153"/>
      <c r="G40" s="15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0</v>
      </c>
      <c r="U2" s="13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0</v>
      </c>
      <c r="U9" s="13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0</v>
      </c>
      <c r="U12" s="13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0</v>
      </c>
      <c r="U23" s="13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490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San Miguel de Allende,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491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7" t="s">
        <v>3142</v>
      </c>
      <c r="B5" s="154" t="str">
        <f>ANIO5R</f>
        <v>2014 ¹ (c)</v>
      </c>
      <c r="C5" s="154" t="str">
        <f>ANIO4R</f>
        <v>2015 ¹ (c)</v>
      </c>
      <c r="D5" s="154" t="str">
        <f>ANIO3R</f>
        <v>2016 ¹ (c)</v>
      </c>
      <c r="E5" s="154" t="str">
        <f>ANIO2R</f>
        <v>2017 ¹ (c)</v>
      </c>
      <c r="F5" s="154" t="str">
        <f>ANIO1R</f>
        <v>2018 ¹ (c)</v>
      </c>
      <c r="G5" s="43">
        <f>ANIO_INFORME</f>
        <v>2019</v>
      </c>
    </row>
    <row r="6" spans="1:7" ht="32.1" customHeight="1" x14ac:dyDescent="0.25">
      <c r="A6" s="158"/>
      <c r="B6" s="155"/>
      <c r="C6" s="155"/>
      <c r="D6" s="155"/>
      <c r="E6" s="155"/>
      <c r="F6" s="155"/>
      <c r="G6" s="73" t="s">
        <v>3295</v>
      </c>
    </row>
    <row r="7" spans="1:7" ht="14.25" x14ac:dyDescent="0.45">
      <c r="A7" s="44" t="s">
        <v>492</v>
      </c>
      <c r="B7" s="28">
        <f>SUM(B8:B16)</f>
        <v>6.75</v>
      </c>
      <c r="C7" s="28">
        <f t="shared" ref="C7:G7" si="0">SUM(C8:C16)</f>
        <v>9</v>
      </c>
      <c r="D7" s="28">
        <f t="shared" si="0"/>
        <v>11.25</v>
      </c>
      <c r="E7" s="28">
        <f t="shared" si="0"/>
        <v>13.5</v>
      </c>
      <c r="F7" s="28">
        <f t="shared" si="0"/>
        <v>15.75</v>
      </c>
      <c r="G7" s="28">
        <f t="shared" si="0"/>
        <v>18</v>
      </c>
    </row>
    <row r="8" spans="1:7" x14ac:dyDescent="0.25">
      <c r="A8" s="45" t="s">
        <v>454</v>
      </c>
      <c r="B8" s="50">
        <v>0.75</v>
      </c>
      <c r="C8" s="50">
        <v>1</v>
      </c>
      <c r="D8" s="50">
        <v>1.25</v>
      </c>
      <c r="E8" s="50">
        <v>1.5</v>
      </c>
      <c r="F8" s="50">
        <v>1.75</v>
      </c>
      <c r="G8" s="50">
        <v>2</v>
      </c>
    </row>
    <row r="9" spans="1:7" x14ac:dyDescent="0.25">
      <c r="A9" s="45" t="s">
        <v>455</v>
      </c>
      <c r="B9" s="50">
        <v>0.75</v>
      </c>
      <c r="C9" s="50">
        <v>1</v>
      </c>
      <c r="D9" s="50">
        <v>1.25</v>
      </c>
      <c r="E9" s="50">
        <v>1.5</v>
      </c>
      <c r="F9" s="50">
        <v>1.75</v>
      </c>
      <c r="G9" s="50">
        <v>2</v>
      </c>
    </row>
    <row r="10" spans="1:7" x14ac:dyDescent="0.25">
      <c r="A10" s="45" t="s">
        <v>456</v>
      </c>
      <c r="B10" s="50">
        <v>0.75</v>
      </c>
      <c r="C10" s="50">
        <v>1</v>
      </c>
      <c r="D10" s="50">
        <v>1.25</v>
      </c>
      <c r="E10" s="50">
        <v>1.5</v>
      </c>
      <c r="F10" s="50">
        <v>1.75</v>
      </c>
      <c r="G10" s="50">
        <v>2</v>
      </c>
    </row>
    <row r="11" spans="1:7" x14ac:dyDescent="0.25">
      <c r="A11" s="45" t="s">
        <v>457</v>
      </c>
      <c r="B11" s="50">
        <v>0.75</v>
      </c>
      <c r="C11" s="50">
        <v>1</v>
      </c>
      <c r="D11" s="50">
        <v>1.25</v>
      </c>
      <c r="E11" s="50">
        <v>1.5</v>
      </c>
      <c r="F11" s="50">
        <v>1.75</v>
      </c>
      <c r="G11" s="50">
        <v>2</v>
      </c>
    </row>
    <row r="12" spans="1:7" x14ac:dyDescent="0.25">
      <c r="A12" s="45" t="s">
        <v>458</v>
      </c>
      <c r="B12" s="50">
        <v>0.75</v>
      </c>
      <c r="C12" s="50">
        <v>1</v>
      </c>
      <c r="D12" s="50">
        <v>1.25</v>
      </c>
      <c r="E12" s="50">
        <v>1.5</v>
      </c>
      <c r="F12" s="50">
        <v>1.75</v>
      </c>
      <c r="G12" s="50">
        <v>2</v>
      </c>
    </row>
    <row r="13" spans="1:7" x14ac:dyDescent="0.25">
      <c r="A13" s="45" t="s">
        <v>459</v>
      </c>
      <c r="B13" s="50">
        <v>0.75</v>
      </c>
      <c r="C13" s="50">
        <v>1</v>
      </c>
      <c r="D13" s="50">
        <v>1.25</v>
      </c>
      <c r="E13" s="50">
        <v>1.5</v>
      </c>
      <c r="F13" s="50">
        <v>1.75</v>
      </c>
      <c r="G13" s="50">
        <v>2</v>
      </c>
    </row>
    <row r="14" spans="1:7" x14ac:dyDescent="0.25">
      <c r="A14" s="45" t="s">
        <v>460</v>
      </c>
      <c r="B14" s="50">
        <v>0.75</v>
      </c>
      <c r="C14" s="50">
        <v>1</v>
      </c>
      <c r="D14" s="50">
        <v>1.25</v>
      </c>
      <c r="E14" s="50">
        <v>1.5</v>
      </c>
      <c r="F14" s="50">
        <v>1.75</v>
      </c>
      <c r="G14" s="50">
        <v>2</v>
      </c>
    </row>
    <row r="15" spans="1:7" x14ac:dyDescent="0.25">
      <c r="A15" s="45" t="s">
        <v>461</v>
      </c>
      <c r="B15" s="50">
        <v>0.75</v>
      </c>
      <c r="C15" s="50">
        <v>1</v>
      </c>
      <c r="D15" s="50">
        <v>1.25</v>
      </c>
      <c r="E15" s="50">
        <v>1.5</v>
      </c>
      <c r="F15" s="50">
        <v>1.75</v>
      </c>
      <c r="G15" s="50">
        <v>2</v>
      </c>
    </row>
    <row r="16" spans="1:7" x14ac:dyDescent="0.25">
      <c r="A16" s="45" t="s">
        <v>462</v>
      </c>
      <c r="B16" s="50">
        <v>0.75</v>
      </c>
      <c r="C16" s="50">
        <v>1</v>
      </c>
      <c r="D16" s="50">
        <v>1.25</v>
      </c>
      <c r="E16" s="50">
        <v>1.5</v>
      </c>
      <c r="F16" s="50">
        <v>1.75</v>
      </c>
      <c r="G16" s="50">
        <v>2</v>
      </c>
    </row>
    <row r="17" spans="1:7" ht="14.25" x14ac:dyDescent="0.45">
      <c r="A17" s="46"/>
      <c r="B17" s="46"/>
      <c r="C17" s="46"/>
      <c r="D17" s="46"/>
      <c r="E17" s="46"/>
      <c r="F17" s="46"/>
      <c r="G17" s="46"/>
    </row>
    <row r="18" spans="1:7" ht="14.25" x14ac:dyDescent="0.45">
      <c r="A18" s="47" t="s">
        <v>493</v>
      </c>
      <c r="B18" s="51">
        <f>SUM(B19:B27)</f>
        <v>6.75</v>
      </c>
      <c r="C18" s="51">
        <f t="shared" ref="C18:G18" si="1">SUM(C19:C27)</f>
        <v>9</v>
      </c>
      <c r="D18" s="51">
        <f t="shared" si="1"/>
        <v>11.25</v>
      </c>
      <c r="E18" s="51">
        <f t="shared" si="1"/>
        <v>13.5</v>
      </c>
      <c r="F18" s="51">
        <f t="shared" si="1"/>
        <v>15.75</v>
      </c>
      <c r="G18" s="51">
        <f t="shared" si="1"/>
        <v>18</v>
      </c>
    </row>
    <row r="19" spans="1:7" x14ac:dyDescent="0.25">
      <c r="A19" s="45" t="s">
        <v>454</v>
      </c>
      <c r="B19" s="50">
        <v>0.75</v>
      </c>
      <c r="C19" s="50">
        <v>1</v>
      </c>
      <c r="D19" s="50">
        <v>1.25</v>
      </c>
      <c r="E19" s="50">
        <v>1.5</v>
      </c>
      <c r="F19" s="50">
        <v>1.75</v>
      </c>
      <c r="G19" s="50">
        <v>2</v>
      </c>
    </row>
    <row r="20" spans="1:7" x14ac:dyDescent="0.25">
      <c r="A20" s="45" t="s">
        <v>455</v>
      </c>
      <c r="B20" s="50">
        <v>0.75</v>
      </c>
      <c r="C20" s="50">
        <v>1</v>
      </c>
      <c r="D20" s="50">
        <v>1.25</v>
      </c>
      <c r="E20" s="50">
        <v>1.5</v>
      </c>
      <c r="F20" s="50">
        <v>1.75</v>
      </c>
      <c r="G20" s="50">
        <v>2</v>
      </c>
    </row>
    <row r="21" spans="1:7" x14ac:dyDescent="0.25">
      <c r="A21" s="45" t="s">
        <v>456</v>
      </c>
      <c r="B21" s="50">
        <v>0.75</v>
      </c>
      <c r="C21" s="50">
        <v>1</v>
      </c>
      <c r="D21" s="50">
        <v>1.25</v>
      </c>
      <c r="E21" s="50">
        <v>1.5</v>
      </c>
      <c r="F21" s="50">
        <v>1.75</v>
      </c>
      <c r="G21" s="50">
        <v>2</v>
      </c>
    </row>
    <row r="22" spans="1:7" x14ac:dyDescent="0.25">
      <c r="A22" s="45" t="s">
        <v>457</v>
      </c>
      <c r="B22" s="50">
        <v>0.75</v>
      </c>
      <c r="C22" s="50">
        <v>1</v>
      </c>
      <c r="D22" s="50">
        <v>1.25</v>
      </c>
      <c r="E22" s="50">
        <v>1.5</v>
      </c>
      <c r="F22" s="50">
        <v>1.75</v>
      </c>
      <c r="G22" s="50">
        <v>2</v>
      </c>
    </row>
    <row r="23" spans="1:7" x14ac:dyDescent="0.25">
      <c r="A23" s="45" t="s">
        <v>458</v>
      </c>
      <c r="B23" s="50">
        <v>0.75</v>
      </c>
      <c r="C23" s="50">
        <v>1</v>
      </c>
      <c r="D23" s="50">
        <v>1.25</v>
      </c>
      <c r="E23" s="50">
        <v>1.5</v>
      </c>
      <c r="F23" s="50">
        <v>1.75</v>
      </c>
      <c r="G23" s="50">
        <v>2</v>
      </c>
    </row>
    <row r="24" spans="1:7" x14ac:dyDescent="0.25">
      <c r="A24" s="45" t="s">
        <v>459</v>
      </c>
      <c r="B24" s="50">
        <v>0.75</v>
      </c>
      <c r="C24" s="50">
        <v>1</v>
      </c>
      <c r="D24" s="50">
        <v>1.25</v>
      </c>
      <c r="E24" s="50">
        <v>1.5</v>
      </c>
      <c r="F24" s="50">
        <v>1.75</v>
      </c>
      <c r="G24" s="50">
        <v>2</v>
      </c>
    </row>
    <row r="25" spans="1:7" x14ac:dyDescent="0.25">
      <c r="A25" s="45" t="s">
        <v>460</v>
      </c>
      <c r="B25" s="50">
        <v>0.75</v>
      </c>
      <c r="C25" s="50">
        <v>1</v>
      </c>
      <c r="D25" s="50">
        <v>1.25</v>
      </c>
      <c r="E25" s="50">
        <v>1.5</v>
      </c>
      <c r="F25" s="50">
        <v>1.75</v>
      </c>
      <c r="G25" s="50">
        <v>2</v>
      </c>
    </row>
    <row r="26" spans="1:7" x14ac:dyDescent="0.25">
      <c r="A26" s="45" t="s">
        <v>464</v>
      </c>
      <c r="B26" s="50">
        <v>0.75</v>
      </c>
      <c r="C26" s="50">
        <v>1</v>
      </c>
      <c r="D26" s="50">
        <v>1.25</v>
      </c>
      <c r="E26" s="50">
        <v>1.5</v>
      </c>
      <c r="F26" s="50">
        <v>1.75</v>
      </c>
      <c r="G26" s="50">
        <v>2</v>
      </c>
    </row>
    <row r="27" spans="1:7" x14ac:dyDescent="0.25">
      <c r="A27" s="45" t="s">
        <v>462</v>
      </c>
      <c r="B27" s="50">
        <v>0.75</v>
      </c>
      <c r="C27" s="50">
        <v>1</v>
      </c>
      <c r="D27" s="50">
        <v>1.25</v>
      </c>
      <c r="E27" s="50">
        <v>1.5</v>
      </c>
      <c r="F27" s="50">
        <v>1.75</v>
      </c>
      <c r="G27" s="50">
        <v>2</v>
      </c>
    </row>
    <row r="28" spans="1:7" ht="14.25" x14ac:dyDescent="0.4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13.5</v>
      </c>
      <c r="C29" s="50">
        <f t="shared" ref="C29:G29" si="2">C7+C18</f>
        <v>18</v>
      </c>
      <c r="D29" s="50">
        <f t="shared" si="2"/>
        <v>22.5</v>
      </c>
      <c r="E29" s="50">
        <f t="shared" si="2"/>
        <v>27</v>
      </c>
      <c r="F29" s="50">
        <f t="shared" si="2"/>
        <v>31.5</v>
      </c>
      <c r="G29" s="50">
        <f t="shared" si="2"/>
        <v>36</v>
      </c>
    </row>
    <row r="30" spans="1:7" ht="14.25" x14ac:dyDescent="0.45">
      <c r="A30" s="49"/>
      <c r="B30" s="49"/>
      <c r="C30" s="49"/>
      <c r="D30" s="49"/>
      <c r="E30" s="49"/>
      <c r="F30" s="49"/>
      <c r="G30" s="49"/>
    </row>
    <row r="31" spans="1:7" ht="14.25" x14ac:dyDescent="0.45">
      <c r="A31" s="74"/>
    </row>
    <row r="32" spans="1:7" ht="14.25" x14ac:dyDescent="0.45">
      <c r="A32" s="153" t="s">
        <v>3292</v>
      </c>
      <c r="B32" s="153"/>
      <c r="C32" s="153"/>
      <c r="D32" s="153"/>
      <c r="E32" s="153"/>
      <c r="F32" s="153"/>
      <c r="G32" s="153"/>
    </row>
    <row r="33" spans="1:7" x14ac:dyDescent="0.25">
      <c r="A33" s="153" t="s">
        <v>3293</v>
      </c>
      <c r="B33" s="153"/>
      <c r="C33" s="153"/>
      <c r="D33" s="153"/>
      <c r="E33" s="153"/>
      <c r="F33" s="153"/>
      <c r="G33" s="15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6.75</v>
      </c>
      <c r="Q2" s="13">
        <f>'Formato 7 d)'!C7</f>
        <v>9</v>
      </c>
      <c r="R2" s="13">
        <f>'Formato 7 d)'!D7</f>
        <v>11.25</v>
      </c>
      <c r="S2" s="13">
        <f>'Formato 7 d)'!E7</f>
        <v>13.5</v>
      </c>
      <c r="T2" s="13">
        <f>'Formato 7 d)'!F7</f>
        <v>15.75</v>
      </c>
      <c r="U2" s="13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0.75</v>
      </c>
      <c r="Q3" s="13">
        <f>'Formato 7 d)'!C8</f>
        <v>1</v>
      </c>
      <c r="R3" s="13">
        <f>'Formato 7 d)'!D8</f>
        <v>1.25</v>
      </c>
      <c r="S3" s="13">
        <f>'Formato 7 d)'!E8</f>
        <v>1.5</v>
      </c>
      <c r="T3" s="13">
        <f>'Formato 7 d)'!F8</f>
        <v>1.75</v>
      </c>
      <c r="U3" s="13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0.75</v>
      </c>
      <c r="Q4" s="13">
        <f>'Formato 7 d)'!C9</f>
        <v>1</v>
      </c>
      <c r="R4" s="13">
        <f>'Formato 7 d)'!D9</f>
        <v>1.25</v>
      </c>
      <c r="S4" s="13">
        <f>'Formato 7 d)'!E9</f>
        <v>1.5</v>
      </c>
      <c r="T4" s="13">
        <f>'Formato 7 d)'!F9</f>
        <v>1.75</v>
      </c>
      <c r="U4" s="13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0.75</v>
      </c>
      <c r="Q5" s="13">
        <f>'Formato 7 d)'!C10</f>
        <v>1</v>
      </c>
      <c r="R5" s="13">
        <f>'Formato 7 d)'!D10</f>
        <v>1.25</v>
      </c>
      <c r="S5" s="13">
        <f>'Formato 7 d)'!E10</f>
        <v>1.5</v>
      </c>
      <c r="T5" s="13">
        <f>'Formato 7 d)'!F10</f>
        <v>1.75</v>
      </c>
      <c r="U5" s="13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0.75</v>
      </c>
      <c r="Q6" s="13">
        <f>'Formato 7 d)'!C11</f>
        <v>1</v>
      </c>
      <c r="R6" s="13">
        <f>'Formato 7 d)'!D11</f>
        <v>1.25</v>
      </c>
      <c r="S6" s="13">
        <f>'Formato 7 d)'!E11</f>
        <v>1.5</v>
      </c>
      <c r="T6" s="13">
        <f>'Formato 7 d)'!F11</f>
        <v>1.75</v>
      </c>
      <c r="U6" s="13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0.75</v>
      </c>
      <c r="Q7" s="13">
        <f>'Formato 7 d)'!C12</f>
        <v>1</v>
      </c>
      <c r="R7" s="13">
        <f>'Formato 7 d)'!D12</f>
        <v>1.25</v>
      </c>
      <c r="S7" s="13">
        <f>'Formato 7 d)'!E12</f>
        <v>1.5</v>
      </c>
      <c r="T7" s="13">
        <f>'Formato 7 d)'!F12</f>
        <v>1.75</v>
      </c>
      <c r="U7" s="13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0.75</v>
      </c>
      <c r="Q8" s="13">
        <f>'Formato 7 d)'!C13</f>
        <v>1</v>
      </c>
      <c r="R8" s="13">
        <f>'Formato 7 d)'!D13</f>
        <v>1.25</v>
      </c>
      <c r="S8" s="13">
        <f>'Formato 7 d)'!E13</f>
        <v>1.5</v>
      </c>
      <c r="T8" s="13">
        <f>'Formato 7 d)'!F13</f>
        <v>1.75</v>
      </c>
      <c r="U8" s="13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0.75</v>
      </c>
      <c r="Q9" s="13">
        <f>'Formato 7 d)'!C14</f>
        <v>1</v>
      </c>
      <c r="R9" s="13">
        <f>'Formato 7 d)'!D14</f>
        <v>1.25</v>
      </c>
      <c r="S9" s="13">
        <f>'Formato 7 d)'!E14</f>
        <v>1.5</v>
      </c>
      <c r="T9" s="13">
        <f>'Formato 7 d)'!F14</f>
        <v>1.75</v>
      </c>
      <c r="U9" s="13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0.75</v>
      </c>
      <c r="Q10" s="13">
        <f>'Formato 7 d)'!C15</f>
        <v>1</v>
      </c>
      <c r="R10" s="13">
        <f>'Formato 7 d)'!D15</f>
        <v>1.25</v>
      </c>
      <c r="S10" s="13">
        <f>'Formato 7 d)'!E15</f>
        <v>1.5</v>
      </c>
      <c r="T10" s="13">
        <f>'Formato 7 d)'!F15</f>
        <v>1.75</v>
      </c>
      <c r="U10" s="13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0.75</v>
      </c>
      <c r="Q11" s="13">
        <f>'Formato 7 d)'!C16</f>
        <v>1</v>
      </c>
      <c r="R11" s="13">
        <f>'Formato 7 d)'!D16</f>
        <v>1.25</v>
      </c>
      <c r="S11" s="13">
        <f>'Formato 7 d)'!E16</f>
        <v>1.5</v>
      </c>
      <c r="T11" s="13">
        <f>'Formato 7 d)'!F16</f>
        <v>1.75</v>
      </c>
      <c r="U11" s="13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6.75</v>
      </c>
      <c r="Q12" s="13">
        <f>'Formato 7 d)'!C18</f>
        <v>9</v>
      </c>
      <c r="R12" s="13">
        <f>'Formato 7 d)'!D18</f>
        <v>11.25</v>
      </c>
      <c r="S12" s="13">
        <f>'Formato 7 d)'!E18</f>
        <v>13.5</v>
      </c>
      <c r="T12" s="13">
        <f>'Formato 7 d)'!F18</f>
        <v>15.75</v>
      </c>
      <c r="U12" s="13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0.75</v>
      </c>
      <c r="Q13" s="13">
        <f>'Formato 7 d)'!C19</f>
        <v>1</v>
      </c>
      <c r="R13" s="13">
        <f>'Formato 7 d)'!D19</f>
        <v>1.25</v>
      </c>
      <c r="S13" s="13">
        <f>'Formato 7 d)'!E19</f>
        <v>1.5</v>
      </c>
      <c r="T13" s="13">
        <f>'Formato 7 d)'!F19</f>
        <v>1.75</v>
      </c>
      <c r="U13" s="13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0.75</v>
      </c>
      <c r="Q14" s="13">
        <f>'Formato 7 d)'!C20</f>
        <v>1</v>
      </c>
      <c r="R14" s="13">
        <f>'Formato 7 d)'!D20</f>
        <v>1.25</v>
      </c>
      <c r="S14" s="13">
        <f>'Formato 7 d)'!E20</f>
        <v>1.5</v>
      </c>
      <c r="T14" s="13">
        <f>'Formato 7 d)'!F20</f>
        <v>1.75</v>
      </c>
      <c r="U14" s="13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0.75</v>
      </c>
      <c r="Q15" s="13">
        <f>'Formato 7 d)'!C21</f>
        <v>1</v>
      </c>
      <c r="R15" s="13">
        <f>'Formato 7 d)'!D21</f>
        <v>1.25</v>
      </c>
      <c r="S15" s="13">
        <f>'Formato 7 d)'!E21</f>
        <v>1.5</v>
      </c>
      <c r="T15" s="13">
        <f>'Formato 7 d)'!F21</f>
        <v>1.75</v>
      </c>
      <c r="U15" s="13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0.75</v>
      </c>
      <c r="Q16" s="13">
        <f>'Formato 7 d)'!C22</f>
        <v>1</v>
      </c>
      <c r="R16" s="13">
        <f>'Formato 7 d)'!D22</f>
        <v>1.25</v>
      </c>
      <c r="S16" s="13">
        <f>'Formato 7 d)'!E22</f>
        <v>1.5</v>
      </c>
      <c r="T16" s="13">
        <f>'Formato 7 d)'!F22</f>
        <v>1.75</v>
      </c>
      <c r="U16" s="13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0.75</v>
      </c>
      <c r="Q17" s="13">
        <f>'Formato 7 d)'!C23</f>
        <v>1</v>
      </c>
      <c r="R17" s="13">
        <f>'Formato 7 d)'!D23</f>
        <v>1.25</v>
      </c>
      <c r="S17" s="13">
        <f>'Formato 7 d)'!E23</f>
        <v>1.5</v>
      </c>
      <c r="T17" s="13">
        <f>'Formato 7 d)'!F23</f>
        <v>1.75</v>
      </c>
      <c r="U17" s="13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0.75</v>
      </c>
      <c r="Q18" s="13">
        <f>'Formato 7 d)'!C24</f>
        <v>1</v>
      </c>
      <c r="R18" s="13">
        <f>'Formato 7 d)'!D24</f>
        <v>1.25</v>
      </c>
      <c r="S18" s="13">
        <f>'Formato 7 d)'!E24</f>
        <v>1.5</v>
      </c>
      <c r="T18" s="13">
        <f>'Formato 7 d)'!F24</f>
        <v>1.75</v>
      </c>
      <c r="U18" s="13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0.75</v>
      </c>
      <c r="Q19" s="13">
        <f>'Formato 7 d)'!C25</f>
        <v>1</v>
      </c>
      <c r="R19" s="13">
        <f>'Formato 7 d)'!D25</f>
        <v>1.25</v>
      </c>
      <c r="S19" s="13">
        <f>'Formato 7 d)'!E25</f>
        <v>1.5</v>
      </c>
      <c r="T19" s="13">
        <f>'Formato 7 d)'!F25</f>
        <v>1.75</v>
      </c>
      <c r="U19" s="13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0.75</v>
      </c>
      <c r="Q20" s="13">
        <f>'Formato 7 d)'!C26</f>
        <v>1</v>
      </c>
      <c r="R20" s="13">
        <f>'Formato 7 d)'!D26</f>
        <v>1.25</v>
      </c>
      <c r="S20" s="13">
        <f>'Formato 7 d)'!E26</f>
        <v>1.5</v>
      </c>
      <c r="T20" s="13">
        <f>'Formato 7 d)'!F26</f>
        <v>1.75</v>
      </c>
      <c r="U20" s="13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0.75</v>
      </c>
      <c r="Q21" s="13">
        <f>'Formato 7 d)'!C27</f>
        <v>1</v>
      </c>
      <c r="R21" s="13">
        <f>'Formato 7 d)'!D27</f>
        <v>1.25</v>
      </c>
      <c r="S21" s="13">
        <f>'Formato 7 d)'!E27</f>
        <v>1.5</v>
      </c>
      <c r="T21" s="13">
        <f>'Formato 7 d)'!F27</f>
        <v>1.75</v>
      </c>
      <c r="U21" s="13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13.5</v>
      </c>
      <c r="Q22" s="13">
        <f>'Formato 7 d)'!C29</f>
        <v>18</v>
      </c>
      <c r="R22" s="13">
        <f>'Formato 7 d)'!D29</f>
        <v>22.5</v>
      </c>
      <c r="S22" s="13">
        <f>'Formato 7 d)'!E29</f>
        <v>27</v>
      </c>
      <c r="T22" s="13">
        <f>'Formato 7 d)'!F29</f>
        <v>31.5</v>
      </c>
      <c r="U22" s="13">
        <f>'Formato 7 d)'!G29</f>
        <v>36</v>
      </c>
    </row>
    <row r="23" spans="1:21" ht="14.25" x14ac:dyDescent="0.45">
      <c r="P23" s="13"/>
      <c r="Q23" s="13"/>
      <c r="R23" s="13"/>
      <c r="S23" s="13"/>
      <c r="T23" s="13"/>
      <c r="U23" s="13"/>
    </row>
    <row r="24" spans="1:21" ht="14.25" x14ac:dyDescent="0.45">
      <c r="P24" s="13"/>
      <c r="Q24" s="13"/>
      <c r="R24" s="13"/>
      <c r="S24" s="13"/>
      <c r="T24" s="13"/>
      <c r="U24" s="13"/>
    </row>
    <row r="25" spans="1:21" ht="14.25" x14ac:dyDescent="0.4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4.25" x14ac:dyDescent="0.4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5" t="s">
        <v>495</v>
      </c>
      <c r="B1" s="135"/>
      <c r="C1" s="135"/>
      <c r="D1" s="135"/>
      <c r="E1" s="135"/>
      <c r="F1" s="135"/>
      <c r="G1" s="90"/>
    </row>
    <row r="2" spans="1:7" ht="14.25" x14ac:dyDescent="0.45">
      <c r="A2" s="126" t="str">
        <f>ENTE_PUBLICO</f>
        <v>Presidencia Municipal de San Miguel de Allende, Gobierno del Estado de Guanajuato</v>
      </c>
      <c r="B2" s="127"/>
      <c r="C2" s="127"/>
      <c r="D2" s="127"/>
      <c r="E2" s="127"/>
      <c r="F2" s="128"/>
    </row>
    <row r="3" spans="1:7" ht="14.25" x14ac:dyDescent="0.45">
      <c r="A3" s="132" t="s">
        <v>496</v>
      </c>
      <c r="B3" s="133"/>
      <c r="C3" s="133"/>
      <c r="D3" s="133"/>
      <c r="E3" s="133"/>
      <c r="F3" s="134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ht="14.25" x14ac:dyDescent="0.45">
      <c r="A17" s="58" t="s">
        <v>509</v>
      </c>
      <c r="B17" s="50"/>
      <c r="C17" s="50"/>
      <c r="D17" s="50"/>
      <c r="E17" s="50"/>
      <c r="F17" s="50"/>
    </row>
    <row r="18" spans="1:6" ht="14.25" x14ac:dyDescent="0.4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ht="14.25" x14ac:dyDescent="0.45">
      <c r="A22" s="54" t="s">
        <v>515</v>
      </c>
      <c r="B22" s="119"/>
      <c r="C22" s="119"/>
      <c r="D22" s="119"/>
      <c r="E22" s="119"/>
      <c r="F22" s="119"/>
    </row>
    <row r="23" spans="1:6" ht="14.25" x14ac:dyDescent="0.4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ht="14.25" x14ac:dyDescent="0.45">
      <c r="A25" s="54" t="s">
        <v>518</v>
      </c>
      <c r="B25" s="120"/>
      <c r="C25" s="50"/>
      <c r="D25" s="50"/>
      <c r="E25" s="50"/>
      <c r="F25" s="50"/>
    </row>
    <row r="26" spans="1:6" ht="14.25" x14ac:dyDescent="0.45">
      <c r="A26" s="48"/>
      <c r="B26" s="46"/>
      <c r="C26" s="46"/>
      <c r="D26" s="46"/>
      <c r="E26" s="46"/>
      <c r="F26" s="46"/>
    </row>
    <row r="27" spans="1:6" ht="14.25" x14ac:dyDescent="0.45">
      <c r="A27" s="99" t="s">
        <v>519</v>
      </c>
      <c r="B27" s="46"/>
      <c r="C27" s="46"/>
      <c r="D27" s="46"/>
      <c r="E27" s="46"/>
      <c r="F27" s="46"/>
    </row>
    <row r="28" spans="1:6" ht="14.25" x14ac:dyDescent="0.45">
      <c r="A28" s="54" t="s">
        <v>520</v>
      </c>
      <c r="B28" s="50"/>
      <c r="C28" s="50"/>
      <c r="D28" s="50"/>
      <c r="E28" s="50"/>
      <c r="F28" s="50"/>
    </row>
    <row r="29" spans="1:6" ht="14.25" x14ac:dyDescent="0.4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ht="14.25" x14ac:dyDescent="0.45">
      <c r="A31" s="54" t="s">
        <v>506</v>
      </c>
      <c r="B31" s="50"/>
      <c r="C31" s="50"/>
      <c r="D31" s="50"/>
      <c r="E31" s="50"/>
      <c r="F31" s="50"/>
    </row>
    <row r="32" spans="1:6" ht="14.25" x14ac:dyDescent="0.45">
      <c r="A32" s="54" t="s">
        <v>510</v>
      </c>
      <c r="B32" s="50"/>
      <c r="C32" s="50"/>
      <c r="D32" s="50"/>
      <c r="E32" s="50"/>
      <c r="F32" s="50"/>
    </row>
    <row r="33" spans="1:6" ht="14.25" x14ac:dyDescent="0.45">
      <c r="A33" s="54" t="s">
        <v>522</v>
      </c>
      <c r="B33" s="50"/>
      <c r="C33" s="50"/>
      <c r="D33" s="50"/>
      <c r="E33" s="50"/>
      <c r="F33" s="50"/>
    </row>
    <row r="34" spans="1:6" ht="14.25" x14ac:dyDescent="0.4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ht="14.25" x14ac:dyDescent="0.45">
      <c r="A38" s="54" t="s">
        <v>526</v>
      </c>
      <c r="B38" s="120"/>
      <c r="C38" s="50"/>
      <c r="D38" s="50"/>
      <c r="E38" s="50"/>
      <c r="F38" s="50"/>
    </row>
    <row r="39" spans="1:6" ht="14.25" x14ac:dyDescent="0.45">
      <c r="A39" s="48"/>
      <c r="B39" s="46"/>
      <c r="C39" s="46"/>
      <c r="D39" s="46"/>
      <c r="E39" s="46"/>
      <c r="F39" s="46"/>
    </row>
    <row r="40" spans="1:6" ht="14.25" x14ac:dyDescent="0.45">
      <c r="A40" s="99" t="s">
        <v>527</v>
      </c>
      <c r="B40" s="50"/>
      <c r="C40" s="50"/>
      <c r="D40" s="50"/>
      <c r="E40" s="50"/>
      <c r="F40" s="50"/>
    </row>
    <row r="41" spans="1:6" ht="14.25" x14ac:dyDescent="0.45">
      <c r="A41" s="48"/>
      <c r="B41" s="46"/>
      <c r="C41" s="46"/>
      <c r="D41" s="46"/>
      <c r="E41" s="46"/>
      <c r="F41" s="46"/>
    </row>
    <row r="42" spans="1:6" ht="14.25" x14ac:dyDescent="0.45">
      <c r="A42" s="99" t="s">
        <v>528</v>
      </c>
      <c r="B42" s="46"/>
      <c r="C42" s="46"/>
      <c r="D42" s="46"/>
      <c r="E42" s="46"/>
      <c r="F42" s="46"/>
    </row>
    <row r="43" spans="1:6" ht="14.25" x14ac:dyDescent="0.4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40" zoomScale="70" zoomScaleNormal="70" workbookViewId="0">
      <selection activeCell="F77" sqref="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5" t="s">
        <v>545</v>
      </c>
      <c r="B1" s="135"/>
      <c r="C1" s="135"/>
      <c r="D1" s="135"/>
      <c r="E1" s="135"/>
      <c r="F1" s="135"/>
    </row>
    <row r="2" spans="1:6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8"/>
    </row>
    <row r="3" spans="1:6" x14ac:dyDescent="0.25">
      <c r="A3" s="129" t="s">
        <v>117</v>
      </c>
      <c r="B3" s="130"/>
      <c r="C3" s="130"/>
      <c r="D3" s="130"/>
      <c r="E3" s="130"/>
      <c r="F3" s="131"/>
    </row>
    <row r="4" spans="1:6" ht="14.25" x14ac:dyDescent="0.45">
      <c r="A4" s="129" t="str">
        <f>PERIODO_INFORME</f>
        <v>Al 31 de diciembre de 2018 y al 30 de junio de 2019 (b)</v>
      </c>
      <c r="B4" s="130"/>
      <c r="C4" s="130"/>
      <c r="D4" s="130"/>
      <c r="E4" s="130"/>
      <c r="F4" s="131"/>
    </row>
    <row r="5" spans="1:6" ht="14.25" x14ac:dyDescent="0.45">
      <c r="A5" s="132" t="s">
        <v>118</v>
      </c>
      <c r="B5" s="133"/>
      <c r="C5" s="133"/>
      <c r="D5" s="133"/>
      <c r="E5" s="133"/>
      <c r="F5" s="134"/>
    </row>
    <row r="6" spans="1:6" ht="28.5" x14ac:dyDescent="0.45">
      <c r="A6" s="110" t="s">
        <v>3284</v>
      </c>
      <c r="B6" s="111" t="str">
        <f>ANIO</f>
        <v>2019 (d)</v>
      </c>
      <c r="C6" s="108" t="str">
        <f>ULTIMO</f>
        <v>31 de diciembre de 2018 (e)</v>
      </c>
      <c r="D6" s="112" t="s">
        <v>0</v>
      </c>
      <c r="E6" s="111" t="str">
        <f>ANIO</f>
        <v>2019 (d)</v>
      </c>
      <c r="F6" s="108" t="str">
        <f>ULTIMO</f>
        <v>31 de diciembre de 2018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ht="14.25" x14ac:dyDescent="0.45">
      <c r="A9" s="77" t="s">
        <v>3</v>
      </c>
      <c r="B9" s="50">
        <f>SUM(B10:B16)</f>
        <v>372407923.64999998</v>
      </c>
      <c r="C9" s="50">
        <f>SUM(C10:C16)</f>
        <v>310295520.88</v>
      </c>
      <c r="D9" s="80" t="s">
        <v>54</v>
      </c>
      <c r="E9" s="50">
        <f>SUM(E10:E18)</f>
        <v>22146877.630000003</v>
      </c>
      <c r="F9" s="50">
        <f>SUM(F10:F18)</f>
        <v>39503281.739999995</v>
      </c>
    </row>
    <row r="10" spans="1:6" x14ac:dyDescent="0.25">
      <c r="A10" s="78" t="s">
        <v>4</v>
      </c>
      <c r="B10" s="50"/>
      <c r="C10" s="50"/>
      <c r="D10" s="81" t="s">
        <v>55</v>
      </c>
      <c r="E10" s="159">
        <v>-59288.639999999999</v>
      </c>
      <c r="F10" s="159">
        <v>-59288.639999999999</v>
      </c>
    </row>
    <row r="11" spans="1:6" x14ac:dyDescent="0.25">
      <c r="A11" s="78" t="s">
        <v>5</v>
      </c>
      <c r="B11" s="50">
        <v>8392986.6899999995</v>
      </c>
      <c r="C11" s="50">
        <v>11642266.5</v>
      </c>
      <c r="D11" s="81" t="s">
        <v>56</v>
      </c>
      <c r="E11" s="159">
        <v>2221805.7400000002</v>
      </c>
      <c r="F11" s="159">
        <v>18287808</v>
      </c>
    </row>
    <row r="12" spans="1:6" x14ac:dyDescent="0.25">
      <c r="A12" s="78" t="s">
        <v>6</v>
      </c>
      <c r="B12" s="50"/>
      <c r="C12" s="50"/>
      <c r="D12" s="81" t="s">
        <v>57</v>
      </c>
      <c r="E12" s="159">
        <v>1834434.44</v>
      </c>
      <c r="F12" s="159">
        <v>3414532.9</v>
      </c>
    </row>
    <row r="13" spans="1:6" x14ac:dyDescent="0.25">
      <c r="A13" s="78" t="s">
        <v>7</v>
      </c>
      <c r="B13" s="50">
        <v>330040874.05000001</v>
      </c>
      <c r="C13" s="50">
        <v>260375979.05000001</v>
      </c>
      <c r="D13" s="81" t="s">
        <v>58</v>
      </c>
      <c r="E13" s="160"/>
      <c r="F13" s="160"/>
    </row>
    <row r="14" spans="1:6" x14ac:dyDescent="0.25">
      <c r="A14" s="78" t="s">
        <v>8</v>
      </c>
      <c r="B14" s="50">
        <v>23046862.379999999</v>
      </c>
      <c r="C14" s="50">
        <v>38277256.460000001</v>
      </c>
      <c r="D14" s="81" t="s">
        <v>59</v>
      </c>
      <c r="E14" s="159">
        <v>0</v>
      </c>
      <c r="F14" s="159">
        <v>0</v>
      </c>
    </row>
    <row r="15" spans="1:6" x14ac:dyDescent="0.25">
      <c r="A15" s="78" t="s">
        <v>9</v>
      </c>
      <c r="B15" s="50">
        <v>10927200.529999999</v>
      </c>
      <c r="C15" s="50">
        <v>18.87</v>
      </c>
      <c r="D15" s="81" t="s">
        <v>60</v>
      </c>
      <c r="E15" s="160"/>
      <c r="F15" s="160"/>
    </row>
    <row r="16" spans="1:6" x14ac:dyDescent="0.25">
      <c r="A16" s="78" t="s">
        <v>10</v>
      </c>
      <c r="B16" s="50"/>
      <c r="C16" s="50"/>
      <c r="D16" s="81" t="s">
        <v>61</v>
      </c>
      <c r="E16" s="159">
        <v>8453379.3499999996</v>
      </c>
      <c r="F16" s="159">
        <v>9762753.0399999991</v>
      </c>
    </row>
    <row r="17" spans="1:6" x14ac:dyDescent="0.25">
      <c r="A17" s="77" t="s">
        <v>11</v>
      </c>
      <c r="B17" s="50">
        <f>SUM(B18:B24)</f>
        <v>22265979.59</v>
      </c>
      <c r="C17" s="50">
        <f>SUM(C18:C24)</f>
        <v>21306728.199999999</v>
      </c>
      <c r="D17" s="81" t="s">
        <v>62</v>
      </c>
      <c r="E17" s="159">
        <v>-17735.97</v>
      </c>
      <c r="F17" s="159">
        <v>-17735.97</v>
      </c>
    </row>
    <row r="18" spans="1:6" x14ac:dyDescent="0.25">
      <c r="A18" s="78" t="s">
        <v>12</v>
      </c>
      <c r="B18" s="50"/>
      <c r="C18" s="50"/>
      <c r="D18" s="81" t="s">
        <v>63</v>
      </c>
      <c r="E18" s="159">
        <v>9714282.7100000009</v>
      </c>
      <c r="F18" s="159">
        <v>8115212.4100000001</v>
      </c>
    </row>
    <row r="19" spans="1:6" x14ac:dyDescent="0.25">
      <c r="A19" s="78" t="s">
        <v>13</v>
      </c>
      <c r="B19" s="50">
        <v>-112595.59</v>
      </c>
      <c r="C19" s="50">
        <v>-111454.15</v>
      </c>
      <c r="D19" s="80" t="s">
        <v>64</v>
      </c>
      <c r="E19" s="50">
        <f>SUM(E20:E22)</f>
        <v>0</v>
      </c>
      <c r="F19" s="50">
        <f>SUM(F20:F22)</f>
        <v>0</v>
      </c>
    </row>
    <row r="20" spans="1:6" x14ac:dyDescent="0.25">
      <c r="A20" s="78" t="s">
        <v>14</v>
      </c>
      <c r="B20" s="50">
        <v>2090545.11</v>
      </c>
      <c r="C20" s="50">
        <v>1270422.95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1277931.29</v>
      </c>
      <c r="C21" s="50">
        <v>1277931.29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183863.64</v>
      </c>
      <c r="C22" s="50">
        <v>43592.97</v>
      </c>
      <c r="D22" s="81" t="s">
        <v>67</v>
      </c>
      <c r="E22" s="50">
        <v>0</v>
      </c>
      <c r="F22" s="50">
        <v>0</v>
      </c>
    </row>
    <row r="23" spans="1:6" x14ac:dyDescent="0.25">
      <c r="A23" s="78" t="s">
        <v>17</v>
      </c>
      <c r="B23" s="50"/>
      <c r="C23" s="50"/>
      <c r="D23" s="80" t="s">
        <v>68</v>
      </c>
      <c r="E23" s="50">
        <f>E24+E25</f>
        <v>3460884</v>
      </c>
      <c r="F23" s="50">
        <f>F24+F25</f>
        <v>494412</v>
      </c>
    </row>
    <row r="24" spans="1:6" x14ac:dyDescent="0.25">
      <c r="A24" s="78" t="s">
        <v>18</v>
      </c>
      <c r="B24" s="50">
        <v>18826235.140000001</v>
      </c>
      <c r="C24" s="50">
        <v>18826235.140000001</v>
      </c>
      <c r="D24" s="81" t="s">
        <v>69</v>
      </c>
      <c r="E24" s="159">
        <v>3460884</v>
      </c>
      <c r="F24" s="159">
        <v>494412</v>
      </c>
    </row>
    <row r="25" spans="1:6" x14ac:dyDescent="0.25">
      <c r="A25" s="77" t="s">
        <v>19</v>
      </c>
      <c r="B25" s="50">
        <f>SUM(B26:B30)</f>
        <v>105184508.95</v>
      </c>
      <c r="C25" s="50">
        <f>SUM(C26:C30)</f>
        <v>18384880.940000001</v>
      </c>
      <c r="D25" s="81" t="s">
        <v>70</v>
      </c>
      <c r="E25" s="159">
        <v>0</v>
      </c>
      <c r="F25" s="159">
        <v>0</v>
      </c>
    </row>
    <row r="26" spans="1:6" x14ac:dyDescent="0.25">
      <c r="A26" s="78" t="s">
        <v>20</v>
      </c>
      <c r="B26" s="50">
        <v>1707875</v>
      </c>
      <c r="C26" s="50">
        <v>3484536.36</v>
      </c>
      <c r="D26" s="80" t="s">
        <v>71</v>
      </c>
      <c r="E26" s="159">
        <v>0</v>
      </c>
      <c r="F26" s="159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159">
        <v>0</v>
      </c>
      <c r="F28" s="159">
        <v>0</v>
      </c>
    </row>
    <row r="29" spans="1:6" x14ac:dyDescent="0.25">
      <c r="A29" s="78" t="s">
        <v>23</v>
      </c>
      <c r="B29" s="50">
        <v>103476633.95</v>
      </c>
      <c r="C29" s="50">
        <v>14900344.58</v>
      </c>
      <c r="D29" s="81" t="s">
        <v>74</v>
      </c>
      <c r="E29" s="159">
        <v>0</v>
      </c>
      <c r="F29" s="159">
        <v>0</v>
      </c>
    </row>
    <row r="30" spans="1:6" x14ac:dyDescent="0.25">
      <c r="A30" s="78" t="s">
        <v>24</v>
      </c>
      <c r="B30" s="50"/>
      <c r="C30" s="50"/>
      <c r="D30" s="81" t="s">
        <v>75</v>
      </c>
      <c r="E30" s="159">
        <v>0</v>
      </c>
      <c r="F30" s="159">
        <v>0</v>
      </c>
    </row>
    <row r="31" spans="1:6" x14ac:dyDescent="0.25">
      <c r="A31" s="77" t="s">
        <v>25</v>
      </c>
      <c r="B31" s="50">
        <f>SUM(B32:B36)</f>
        <v>1899.5</v>
      </c>
      <c r="C31" s="50">
        <f>SUM(C32:C36)</f>
        <v>1899.5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159">
        <v>1899.5</v>
      </c>
      <c r="C32" s="159">
        <v>1899.5</v>
      </c>
      <c r="D32" s="81" t="s">
        <v>77</v>
      </c>
      <c r="E32" s="160"/>
      <c r="F32" s="160"/>
    </row>
    <row r="33" spans="1:6" x14ac:dyDescent="0.25">
      <c r="A33" s="78" t="s">
        <v>27</v>
      </c>
      <c r="B33" s="160"/>
      <c r="C33" s="50">
        <v>0</v>
      </c>
      <c r="D33" s="81" t="s">
        <v>78</v>
      </c>
      <c r="E33" s="160"/>
      <c r="F33" s="160"/>
    </row>
    <row r="34" spans="1:6" x14ac:dyDescent="0.25">
      <c r="A34" s="78" t="s">
        <v>28</v>
      </c>
      <c r="B34" s="160"/>
      <c r="C34" s="50">
        <v>0</v>
      </c>
      <c r="D34" s="81" t="s">
        <v>79</v>
      </c>
      <c r="E34" s="160"/>
      <c r="F34" s="160"/>
    </row>
    <row r="35" spans="1:6" x14ac:dyDescent="0.25">
      <c r="A35" s="78" t="s">
        <v>29</v>
      </c>
      <c r="B35" s="160"/>
      <c r="C35" s="50">
        <v>0</v>
      </c>
      <c r="D35" s="81" t="s">
        <v>80</v>
      </c>
      <c r="E35" s="160"/>
      <c r="F35" s="160"/>
    </row>
    <row r="36" spans="1:6" x14ac:dyDescent="0.25">
      <c r="A36" s="78" t="s">
        <v>30</v>
      </c>
      <c r="B36" s="160"/>
      <c r="C36" s="50">
        <v>0</v>
      </c>
      <c r="D36" s="81" t="s">
        <v>81</v>
      </c>
      <c r="E36" s="160"/>
      <c r="F36" s="160"/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160"/>
      <c r="F37" s="16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9467992.0500000007</v>
      </c>
      <c r="F38" s="50">
        <f>SUM(F39:F41)</f>
        <v>-115022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159">
        <v>0</v>
      </c>
      <c r="F39" s="159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159">
        <v>0</v>
      </c>
      <c r="F40" s="159">
        <v>0</v>
      </c>
    </row>
    <row r="41" spans="1:6" x14ac:dyDescent="0.25">
      <c r="A41" s="77" t="s">
        <v>34</v>
      </c>
      <c r="B41" s="50">
        <f>SUM(B42:B45)</f>
        <v>0</v>
      </c>
      <c r="C41" s="50">
        <v>0</v>
      </c>
      <c r="D41" s="81" t="s">
        <v>86</v>
      </c>
      <c r="E41" s="159">
        <v>9467992.0500000007</v>
      </c>
      <c r="F41" s="159">
        <v>-115022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276067.33</v>
      </c>
      <c r="F42" s="50">
        <f>SUM(F43:F45)</f>
        <v>276067.33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159">
        <v>0</v>
      </c>
      <c r="F43" s="159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159">
        <v>0</v>
      </c>
      <c r="F44" s="159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159">
        <v>276067.33</v>
      </c>
      <c r="F45" s="159">
        <v>276067.33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499860311.68999994</v>
      </c>
      <c r="C47" s="51">
        <f>C9+C17+C25+C31+C38+C41</f>
        <v>349989029.51999998</v>
      </c>
      <c r="D47" s="79" t="s">
        <v>91</v>
      </c>
      <c r="E47" s="51">
        <f>E9+E19+E23+E26+E27+E31+E38+E42</f>
        <v>35351821.010000005</v>
      </c>
      <c r="F47" s="51">
        <f>F9+F19+F23+F26+F27+F31+F38+F42</f>
        <v>40158739.069999993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-1437750.16</v>
      </c>
      <c r="C50" s="50">
        <v>-1437750.16</v>
      </c>
      <c r="D50" s="80" t="s">
        <v>93</v>
      </c>
      <c r="E50" s="159">
        <v>0</v>
      </c>
      <c r="F50" s="159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159">
        <v>0</v>
      </c>
      <c r="F51" s="159">
        <v>0</v>
      </c>
    </row>
    <row r="52" spans="1:6" x14ac:dyDescent="0.25">
      <c r="A52" s="77" t="s">
        <v>43</v>
      </c>
      <c r="B52" s="50">
        <v>1571922809.0599999</v>
      </c>
      <c r="C52" s="50">
        <v>1568130772.74</v>
      </c>
      <c r="D52" s="80" t="s">
        <v>95</v>
      </c>
      <c r="E52" s="159">
        <v>17568853.399999999</v>
      </c>
      <c r="F52" s="159">
        <v>23501797.399999999</v>
      </c>
    </row>
    <row r="53" spans="1:6" x14ac:dyDescent="0.25">
      <c r="A53" s="77" t="s">
        <v>44</v>
      </c>
      <c r="B53" s="50">
        <v>132307425.26000001</v>
      </c>
      <c r="C53" s="50">
        <v>129559437.15000001</v>
      </c>
      <c r="D53" s="80" t="s">
        <v>96</v>
      </c>
      <c r="E53" s="159">
        <v>0</v>
      </c>
      <c r="F53" s="159">
        <v>0</v>
      </c>
    </row>
    <row r="54" spans="1:6" x14ac:dyDescent="0.25">
      <c r="A54" s="77" t="s">
        <v>45</v>
      </c>
      <c r="B54" s="50">
        <v>9522129.0500000007</v>
      </c>
      <c r="C54" s="50">
        <v>9489129.0500000007</v>
      </c>
      <c r="D54" s="80" t="s">
        <v>97</v>
      </c>
      <c r="E54" s="159">
        <v>0</v>
      </c>
      <c r="F54" s="159">
        <v>0</v>
      </c>
    </row>
    <row r="55" spans="1:6" x14ac:dyDescent="0.25">
      <c r="A55" s="77" t="s">
        <v>46</v>
      </c>
      <c r="B55" s="50">
        <v>-100187086.27</v>
      </c>
      <c r="C55" s="50">
        <v>-100187086.27</v>
      </c>
      <c r="D55" s="30" t="s">
        <v>98</v>
      </c>
      <c r="E55" s="159">
        <v>0</v>
      </c>
      <c r="F55" s="159">
        <v>0</v>
      </c>
    </row>
    <row r="56" spans="1:6" x14ac:dyDescent="0.25">
      <c r="A56" s="77" t="s">
        <v>47</v>
      </c>
      <c r="B56" s="50">
        <v>1379742.26</v>
      </c>
      <c r="C56" s="50">
        <v>1379742.26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17568853.399999999</v>
      </c>
      <c r="F57" s="51">
        <f>SUM(F50:F55)</f>
        <v>23501797.399999999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52920674.410000004</v>
      </c>
      <c r="F59" s="51">
        <f>F47+F57</f>
        <v>63660536.469999991</v>
      </c>
    </row>
    <row r="60" spans="1:6" x14ac:dyDescent="0.25">
      <c r="A60" s="47" t="s">
        <v>50</v>
      </c>
      <c r="B60" s="51">
        <f>SUM(B50:B58)</f>
        <v>1613507269.1999998</v>
      </c>
      <c r="C60" s="51">
        <f>SUM(C50:C58)</f>
        <v>1606934244.77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2113367580.8899999</v>
      </c>
      <c r="C62" s="51">
        <f>SUM(C47+C60)</f>
        <v>1956923274.29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290828929.97999996</v>
      </c>
      <c r="F63" s="50">
        <f>SUM(F64:F66)</f>
        <v>290828929.97999996</v>
      </c>
    </row>
    <row r="64" spans="1:6" x14ac:dyDescent="0.25">
      <c r="A64" s="46"/>
      <c r="B64" s="46"/>
      <c r="C64" s="46"/>
      <c r="D64" s="80" t="s">
        <v>103</v>
      </c>
      <c r="E64" s="159">
        <v>280359628.63999999</v>
      </c>
      <c r="F64" s="159">
        <v>280359628.63999999</v>
      </c>
    </row>
    <row r="65" spans="1:6" x14ac:dyDescent="0.25">
      <c r="A65" s="46"/>
      <c r="B65" s="46"/>
      <c r="C65" s="46"/>
      <c r="D65" s="30" t="s">
        <v>104</v>
      </c>
      <c r="E65" s="159">
        <v>0</v>
      </c>
      <c r="F65" s="159">
        <v>0</v>
      </c>
    </row>
    <row r="66" spans="1:6" x14ac:dyDescent="0.25">
      <c r="A66" s="46"/>
      <c r="B66" s="46"/>
      <c r="C66" s="46"/>
      <c r="D66" s="80" t="s">
        <v>105</v>
      </c>
      <c r="E66" s="159">
        <v>10469301.34</v>
      </c>
      <c r="F66" s="159">
        <v>10469301.34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1769678431.3599999</v>
      </c>
      <c r="F68" s="50">
        <f>SUM(F69:F73)</f>
        <v>1602433807.8399999</v>
      </c>
    </row>
    <row r="69" spans="1:6" x14ac:dyDescent="0.25">
      <c r="A69" s="4"/>
      <c r="B69" s="46"/>
      <c r="C69" s="46"/>
      <c r="D69" s="80" t="s">
        <v>107</v>
      </c>
      <c r="E69" s="159">
        <v>168180530.02000001</v>
      </c>
      <c r="F69" s="159">
        <v>165956714.81999999</v>
      </c>
    </row>
    <row r="70" spans="1:6" x14ac:dyDescent="0.25">
      <c r="A70" s="4"/>
      <c r="B70" s="46"/>
      <c r="C70" s="46"/>
      <c r="D70" s="80" t="s">
        <v>108</v>
      </c>
      <c r="E70" s="159">
        <v>1743349031.5599999</v>
      </c>
      <c r="F70" s="159">
        <v>1578328223.24</v>
      </c>
    </row>
    <row r="71" spans="1:6" x14ac:dyDescent="0.25">
      <c r="A71" s="4"/>
      <c r="B71" s="46"/>
      <c r="C71" s="46"/>
      <c r="D71" s="80" t="s">
        <v>109</v>
      </c>
      <c r="E71" s="159">
        <v>0</v>
      </c>
      <c r="F71" s="159">
        <v>0</v>
      </c>
    </row>
    <row r="72" spans="1:6" x14ac:dyDescent="0.25">
      <c r="A72" s="4"/>
      <c r="B72" s="46"/>
      <c r="C72" s="46"/>
      <c r="D72" s="80" t="s">
        <v>110</v>
      </c>
      <c r="E72" s="159">
        <v>0</v>
      </c>
      <c r="F72" s="159">
        <v>0</v>
      </c>
    </row>
    <row r="73" spans="1:6" x14ac:dyDescent="0.25">
      <c r="A73" s="4"/>
      <c r="B73" s="46"/>
      <c r="C73" s="46"/>
      <c r="D73" s="80" t="s">
        <v>111</v>
      </c>
      <c r="E73" s="159">
        <v>-141851130.22</v>
      </c>
      <c r="F73" s="159">
        <v>-141851130.22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2060507361.3399999</v>
      </c>
      <c r="F79" s="51">
        <f>F63+F68+F75</f>
        <v>1893262737.8199999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2113428035.75</v>
      </c>
      <c r="F81" s="51">
        <f>F59+F79</f>
        <v>1956923274.29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372407923.64999998</v>
      </c>
      <c r="Q4" s="13">
        <f>'Formato 1'!C9</f>
        <v>310295520.88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8392986.6899999995</v>
      </c>
      <c r="Q6" s="13">
        <f>'Formato 1'!C11</f>
        <v>11642266.5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0</v>
      </c>
      <c r="Q7" s="13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330040874.05000001</v>
      </c>
      <c r="Q8" s="13">
        <f>'Formato 1'!C13</f>
        <v>260375979.05000001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23046862.379999999</v>
      </c>
      <c r="Q9" s="13">
        <f>'Formato 1'!C14</f>
        <v>38277256.460000001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10927200.529999999</v>
      </c>
      <c r="Q10" s="13">
        <f>'Formato 1'!C15</f>
        <v>18.87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22265979.59</v>
      </c>
      <c r="Q12" s="13">
        <f>'Formato 1'!C17</f>
        <v>21306728.199999999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-112595.59</v>
      </c>
      <c r="Q14" s="13">
        <f>'Formato 1'!C19</f>
        <v>-111454.15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2090545.11</v>
      </c>
      <c r="Q15" s="13">
        <f>'Formato 1'!C20</f>
        <v>1270422.95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1277931.29</v>
      </c>
      <c r="Q16" s="13">
        <f>'Formato 1'!C21</f>
        <v>1277931.29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183863.64</v>
      </c>
      <c r="Q17" s="13">
        <f>'Formato 1'!C22</f>
        <v>43592.97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18826235.140000001</v>
      </c>
      <c r="Q19" s="13">
        <f>'Formato 1'!C24</f>
        <v>18826235.140000001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105184508.95</v>
      </c>
      <c r="Q20" s="13">
        <f>'Formato 1'!C25</f>
        <v>18384880.940000001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1707875</v>
      </c>
      <c r="Q21" s="13">
        <f>'Formato 1'!C26</f>
        <v>3484536.36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103476633.95</v>
      </c>
      <c r="Q24" s="13">
        <f>'Formato 1'!C29</f>
        <v>14900344.58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1899.5</v>
      </c>
      <c r="Q26" s="13">
        <f>'Formato 1'!C31</f>
        <v>1899.5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1899.5</v>
      </c>
      <c r="Q27" s="13">
        <f>'Formato 1'!C32</f>
        <v>1899.5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499860311.68999994</v>
      </c>
      <c r="Q42" s="13">
        <f>'Formato 1'!C47</f>
        <v>349989029.51999998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-1437750.16</v>
      </c>
      <c r="Q44">
        <f>'Formato 1'!C50</f>
        <v>-1437750.16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1571922809.0599999</v>
      </c>
      <c r="Q46">
        <f>'Formato 1'!C52</f>
        <v>1568130772.74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132307425.26000001</v>
      </c>
      <c r="Q47">
        <f>'Formato 1'!C53</f>
        <v>129559437.15000001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9522129.0500000007</v>
      </c>
      <c r="Q48">
        <f>'Formato 1'!C54</f>
        <v>9489129.0500000007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-100187086.27</v>
      </c>
      <c r="Q49">
        <f>'Formato 1'!C55</f>
        <v>-100187086.27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1379742.26</v>
      </c>
      <c r="Q50">
        <f>'Formato 1'!C56</f>
        <v>1379742.26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1613507269.1999998</v>
      </c>
      <c r="Q53">
        <f>'Formato 1'!C60</f>
        <v>1606934244.77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2113367580.8899999</v>
      </c>
      <c r="Q54">
        <f>'Formato 1'!C62</f>
        <v>1956923274.29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22146877.630000003</v>
      </c>
      <c r="Q57">
        <f>'Formato 1'!F9</f>
        <v>39503281.739999995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-59288.639999999999</v>
      </c>
      <c r="Q58">
        <f>'Formato 1'!F10</f>
        <v>-59288.639999999999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2221805.7400000002</v>
      </c>
      <c r="Q59">
        <f>'Formato 1'!F11</f>
        <v>18287808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1834434.44</v>
      </c>
      <c r="Q60">
        <f>'Formato 1'!F12</f>
        <v>3414532.9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8453379.3499999996</v>
      </c>
      <c r="Q64">
        <f>'Formato 1'!F16</f>
        <v>9762753.0399999991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-17735.97</v>
      </c>
      <c r="Q65">
        <f>'Formato 1'!F17</f>
        <v>-17735.97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9714282.7100000009</v>
      </c>
      <c r="Q66">
        <f>'Formato 1'!F18</f>
        <v>8115212.4100000001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3460884</v>
      </c>
      <c r="Q71">
        <f>'Formato 1'!F23</f>
        <v>494412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3460884</v>
      </c>
      <c r="Q72">
        <f>'Formato 1'!F24</f>
        <v>494412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9467992.0500000007</v>
      </c>
      <c r="Q87">
        <f>'Formato 1'!F38</f>
        <v>-115022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9467992.0500000007</v>
      </c>
      <c r="Q90">
        <f>'Formato 1'!F41</f>
        <v>-115022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276067.33</v>
      </c>
      <c r="Q91">
        <f>'Formato 1'!F42</f>
        <v>276067.33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276067.33</v>
      </c>
      <c r="Q94">
        <f>'Formato 1'!F45</f>
        <v>276067.33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35351821.010000005</v>
      </c>
      <c r="Q95">
        <f>'Formato 1'!F47</f>
        <v>40158739.069999993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17568853.399999999</v>
      </c>
      <c r="Q99">
        <f>'Formato 1'!F52</f>
        <v>23501797.399999999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17568853.399999999</v>
      </c>
      <c r="Q103">
        <f>'Formato 1'!F57</f>
        <v>23501797.399999999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52920674.410000004</v>
      </c>
      <c r="Q104">
        <f>'Formato 1'!F59</f>
        <v>63660536.469999991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290828929.97999996</v>
      </c>
      <c r="Q106">
        <f>'Formato 1'!F63</f>
        <v>290828929.97999996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280359628.63999999</v>
      </c>
      <c r="Q107">
        <f>'Formato 1'!F64</f>
        <v>280359628.63999999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10469301.34</v>
      </c>
      <c r="Q109">
        <f>'Formato 1'!F66</f>
        <v>10469301.34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1769678431.3599999</v>
      </c>
      <c r="Q110">
        <f>'Formato 1'!F68</f>
        <v>1602433807.8399999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168180530.02000001</v>
      </c>
      <c r="Q111">
        <f>'Formato 1'!F69</f>
        <v>165956714.81999999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1743349031.5599999</v>
      </c>
      <c r="Q112">
        <f>'Formato 1'!F70</f>
        <v>1578328223.24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-141851130.22</v>
      </c>
      <c r="Q115">
        <f>'Formato 1'!F73</f>
        <v>-141851130.22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2060507361.3399999</v>
      </c>
      <c r="Q119">
        <f>'Formato 1'!F79</f>
        <v>1893262737.8199999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2113428035.75</v>
      </c>
      <c r="Q120">
        <f>'Formato 1'!F81</f>
        <v>1956923274.29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7" t="s">
        <v>544</v>
      </c>
      <c r="B1" s="137"/>
      <c r="C1" s="137"/>
      <c r="D1" s="137"/>
      <c r="E1" s="137"/>
      <c r="F1" s="137"/>
      <c r="G1" s="137"/>
      <c r="H1" s="137"/>
    </row>
    <row r="2" spans="1:9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7"/>
      <c r="H2" s="128"/>
    </row>
    <row r="3" spans="1:9" x14ac:dyDescent="0.25">
      <c r="A3" s="129" t="s">
        <v>120</v>
      </c>
      <c r="B3" s="130"/>
      <c r="C3" s="130"/>
      <c r="D3" s="130"/>
      <c r="E3" s="130"/>
      <c r="F3" s="130"/>
      <c r="G3" s="130"/>
      <c r="H3" s="131"/>
    </row>
    <row r="4" spans="1:9" ht="14.25" x14ac:dyDescent="0.45">
      <c r="A4" s="129" t="str">
        <f>PERIODO_INFORME</f>
        <v>Al 31 de diciembre de 2018 y al 30 de junio de 2019 (b)</v>
      </c>
      <c r="B4" s="130"/>
      <c r="C4" s="130"/>
      <c r="D4" s="130"/>
      <c r="E4" s="130"/>
      <c r="F4" s="130"/>
      <c r="G4" s="130"/>
      <c r="H4" s="131"/>
    </row>
    <row r="5" spans="1:9" ht="14.25" x14ac:dyDescent="0.45">
      <c r="A5" s="132" t="s">
        <v>118</v>
      </c>
      <c r="B5" s="133"/>
      <c r="C5" s="133"/>
      <c r="D5" s="133"/>
      <c r="E5" s="133"/>
      <c r="F5" s="133"/>
      <c r="G5" s="133"/>
      <c r="H5" s="134"/>
    </row>
    <row r="6" spans="1:9" ht="45" x14ac:dyDescent="0.25">
      <c r="A6" s="83" t="s">
        <v>121</v>
      </c>
      <c r="B6" s="84" t="str">
        <f>ULTIMO_SALDO</f>
        <v>Saldo al 31 de diciembre de 2018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23501797.399999999</v>
      </c>
      <c r="C8" s="51">
        <f t="shared" ref="C8:H8" si="0">C9+C13</f>
        <v>17568853.399999999</v>
      </c>
      <c r="D8" s="51">
        <f t="shared" si="0"/>
        <v>3955296</v>
      </c>
      <c r="E8" s="51">
        <f t="shared" si="0"/>
        <v>0</v>
      </c>
      <c r="F8" s="51">
        <f t="shared" si="0"/>
        <v>37115354.799999997</v>
      </c>
      <c r="G8" s="51">
        <f t="shared" si="0"/>
        <v>0</v>
      </c>
      <c r="H8" s="51">
        <f t="shared" si="0"/>
        <v>0</v>
      </c>
    </row>
    <row r="9" spans="1:9" x14ac:dyDescent="0.25">
      <c r="A9" s="86" t="s">
        <v>128</v>
      </c>
      <c r="B9" s="160">
        <f>SUM(B10:B12)</f>
        <v>0</v>
      </c>
      <c r="C9" s="160">
        <f t="shared" ref="C9:H9" si="1">SUM(C10:C12)</f>
        <v>0</v>
      </c>
      <c r="D9" s="160">
        <f t="shared" si="1"/>
        <v>3955296</v>
      </c>
      <c r="E9" s="160">
        <f t="shared" si="1"/>
        <v>0</v>
      </c>
      <c r="F9" s="160">
        <f>B9+C9-D9+E9</f>
        <v>-3955296</v>
      </c>
      <c r="G9" s="160">
        <f t="shared" si="1"/>
        <v>0</v>
      </c>
      <c r="H9" s="160">
        <f t="shared" si="1"/>
        <v>0</v>
      </c>
    </row>
    <row r="10" spans="1:9" x14ac:dyDescent="0.25">
      <c r="A10" s="87" t="s">
        <v>129</v>
      </c>
      <c r="B10" s="160"/>
      <c r="C10" s="160"/>
      <c r="D10" s="159">
        <v>3955296</v>
      </c>
      <c r="E10" s="160"/>
      <c r="F10" s="159">
        <v>-1146937.04</v>
      </c>
      <c r="G10" s="160"/>
      <c r="H10" s="160"/>
    </row>
    <row r="11" spans="1:9" x14ac:dyDescent="0.25">
      <c r="A11" s="87" t="s">
        <v>130</v>
      </c>
      <c r="B11" s="160"/>
      <c r="C11" s="160"/>
      <c r="D11" s="160"/>
      <c r="E11" s="160"/>
      <c r="F11" s="160">
        <f>B11+C11-D11+E11</f>
        <v>0</v>
      </c>
      <c r="G11" s="160"/>
      <c r="H11" s="160"/>
    </row>
    <row r="12" spans="1:9" x14ac:dyDescent="0.25">
      <c r="A12" s="87" t="s">
        <v>131</v>
      </c>
      <c r="B12" s="160"/>
      <c r="C12" s="160"/>
      <c r="D12" s="160"/>
      <c r="E12" s="160"/>
      <c r="F12" s="160">
        <f>B12+C12-D12+E12</f>
        <v>0</v>
      </c>
      <c r="G12" s="160"/>
      <c r="H12" s="160"/>
    </row>
    <row r="13" spans="1:9" ht="14.25" x14ac:dyDescent="0.45">
      <c r="A13" s="86" t="s">
        <v>132</v>
      </c>
      <c r="B13" s="50">
        <f>SUM(B14:B16)</f>
        <v>23501797.399999999</v>
      </c>
      <c r="C13" s="50">
        <f t="shared" ref="C13:H13" si="2">SUM(C14:C16)</f>
        <v>17568853.399999999</v>
      </c>
      <c r="D13" s="50">
        <f t="shared" si="2"/>
        <v>0</v>
      </c>
      <c r="E13" s="50">
        <f t="shared" si="2"/>
        <v>0</v>
      </c>
      <c r="F13" s="50">
        <f t="shared" si="2"/>
        <v>41070650.799999997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159">
        <v>23501797.399999999</v>
      </c>
      <c r="C14" s="159">
        <v>17568853.399999999</v>
      </c>
      <c r="D14" s="160"/>
      <c r="E14" s="160"/>
      <c r="F14" s="160">
        <f>B14+C14-D14+E14</f>
        <v>41070650.799999997</v>
      </c>
      <c r="G14" s="160"/>
      <c r="H14" s="160"/>
    </row>
    <row r="15" spans="1:9" x14ac:dyDescent="0.25">
      <c r="A15" s="87" t="s">
        <v>134</v>
      </c>
      <c r="B15" s="159">
        <v>0</v>
      </c>
      <c r="C15" s="159">
        <v>0</v>
      </c>
      <c r="D15" s="160"/>
      <c r="E15" s="160"/>
      <c r="F15" s="160">
        <f>B15+C15-D15+E15</f>
        <v>0</v>
      </c>
      <c r="G15" s="160"/>
      <c r="H15" s="160"/>
    </row>
    <row r="16" spans="1:9" x14ac:dyDescent="0.25">
      <c r="A16" s="87" t="s">
        <v>135</v>
      </c>
      <c r="B16" s="159">
        <v>0</v>
      </c>
      <c r="C16" s="159">
        <v>0</v>
      </c>
      <c r="D16" s="160"/>
      <c r="E16" s="160"/>
      <c r="F16" s="160">
        <f>B16+C16-D16+E16</f>
        <v>0</v>
      </c>
      <c r="G16" s="160"/>
      <c r="H16" s="160"/>
    </row>
    <row r="17" spans="1:8" ht="14.25" x14ac:dyDescent="0.45">
      <c r="A17" s="46"/>
      <c r="B17" s="4"/>
      <c r="C17" s="4"/>
      <c r="D17" s="4"/>
      <c r="E17" s="4"/>
      <c r="F17" s="4"/>
      <c r="G17" s="4"/>
      <c r="H17" s="4"/>
    </row>
    <row r="18" spans="1:8" ht="14.25" x14ac:dyDescent="0.45">
      <c r="A18" s="85" t="s">
        <v>136</v>
      </c>
      <c r="B18" s="51">
        <v>1</v>
      </c>
      <c r="C18" s="109"/>
      <c r="D18" s="109"/>
      <c r="E18" s="109"/>
      <c r="F18" s="51">
        <v>1</v>
      </c>
      <c r="G18" s="109"/>
      <c r="H18" s="109"/>
    </row>
    <row r="19" spans="1:8" ht="14.25" x14ac:dyDescent="0.4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23501798.399999999</v>
      </c>
      <c r="C20" s="51">
        <f t="shared" ref="C20:H20" si="3">C8+C18</f>
        <v>17568853.399999999</v>
      </c>
      <c r="D20" s="51">
        <f t="shared" si="3"/>
        <v>3955296</v>
      </c>
      <c r="E20" s="51">
        <f t="shared" si="3"/>
        <v>0</v>
      </c>
      <c r="F20" s="51">
        <f t="shared" si="3"/>
        <v>37115355.799999997</v>
      </c>
      <c r="G20" s="51">
        <f t="shared" si="3"/>
        <v>0</v>
      </c>
      <c r="H20" s="51">
        <f t="shared" si="3"/>
        <v>0</v>
      </c>
    </row>
    <row r="21" spans="1:8" ht="14.25" x14ac:dyDescent="0.45">
      <c r="A21" s="46"/>
      <c r="B21" s="46"/>
      <c r="C21" s="46"/>
      <c r="D21" s="46"/>
      <c r="E21" s="46"/>
      <c r="F21" s="46"/>
      <c r="G21" s="46"/>
      <c r="H21" s="46"/>
    </row>
    <row r="22" spans="1:8" ht="15.75" x14ac:dyDescent="0.45">
      <c r="A22" s="85" t="s">
        <v>3296</v>
      </c>
      <c r="B22" s="51">
        <f>SUM(B23:DEUDA_CONT_FIN_01)</f>
        <v>3</v>
      </c>
      <c r="C22" s="51">
        <f>SUM(C23:DEUDA_CONT_FIN_02)</f>
        <v>3</v>
      </c>
      <c r="D22" s="51">
        <f>SUM(D23:DEUDA_CONT_FIN_03)</f>
        <v>3</v>
      </c>
      <c r="E22" s="51">
        <f>SUM(E23:DEUDA_CONT_FIN_04)</f>
        <v>3</v>
      </c>
      <c r="F22" s="51">
        <f>SUM(F23:DEUDA_CONT_FIN_05)</f>
        <v>3</v>
      </c>
      <c r="G22" s="51">
        <f>SUM(G23:DEUDA_CONT_FIN_06)</f>
        <v>3</v>
      </c>
      <c r="H22" s="51">
        <f>SUM(H23:DEUDA_CONT_FIN_07)</f>
        <v>3</v>
      </c>
    </row>
    <row r="23" spans="1:8" s="18" customFormat="1" ht="14.25" x14ac:dyDescent="0.45">
      <c r="A23" s="88" t="s">
        <v>442</v>
      </c>
      <c r="B23" s="50">
        <v>1</v>
      </c>
      <c r="C23" s="50">
        <v>1</v>
      </c>
      <c r="D23" s="50">
        <v>1</v>
      </c>
      <c r="E23" s="50">
        <v>1</v>
      </c>
      <c r="F23" s="50">
        <v>1</v>
      </c>
      <c r="G23" s="50">
        <v>1</v>
      </c>
      <c r="H23" s="50">
        <v>1</v>
      </c>
    </row>
    <row r="24" spans="1:8" s="18" customFormat="1" ht="14.25" x14ac:dyDescent="0.45">
      <c r="A24" s="88" t="s">
        <v>443</v>
      </c>
      <c r="B24" s="50">
        <v>1</v>
      </c>
      <c r="C24" s="50">
        <v>1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</row>
    <row r="25" spans="1:8" s="18" customFormat="1" ht="14.25" x14ac:dyDescent="0.45">
      <c r="A25" s="88" t="s">
        <v>444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50">
        <v>1</v>
      </c>
    </row>
    <row r="26" spans="1:8" ht="14.25" x14ac:dyDescent="0.4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3</v>
      </c>
      <c r="C27" s="51">
        <f>SUM(C28:VALOR_INS_BCC_FIN_02)</f>
        <v>3</v>
      </c>
      <c r="D27" s="51">
        <f>SUM(D28:VALOR_INS_BCC_FIN_03)</f>
        <v>3</v>
      </c>
      <c r="E27" s="51">
        <f>SUM(E28:VALOR_INS_BCC_FIN_04)</f>
        <v>3</v>
      </c>
      <c r="F27" s="51">
        <f>SUM(F28:VALOR_INS_BCC_FIN_05)</f>
        <v>3</v>
      </c>
      <c r="G27" s="51">
        <f>SUM(G28:VALOR_INS_BCC_FIN_06)</f>
        <v>3</v>
      </c>
      <c r="H27" s="51">
        <f>SUM(H28:VALOR_INS_BCC_FIN_07)</f>
        <v>3</v>
      </c>
    </row>
    <row r="28" spans="1:8" s="18" customFormat="1" x14ac:dyDescent="0.25">
      <c r="A28" s="88" t="s">
        <v>445</v>
      </c>
      <c r="B28" s="50">
        <v>1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</row>
    <row r="29" spans="1:8" s="18" customFormat="1" x14ac:dyDescent="0.25">
      <c r="A29" s="88" t="s">
        <v>446</v>
      </c>
      <c r="B29" s="50">
        <v>1</v>
      </c>
      <c r="C29" s="50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</row>
    <row r="30" spans="1:8" s="18" customFormat="1" x14ac:dyDescent="0.25">
      <c r="A30" s="88" t="s">
        <v>447</v>
      </c>
      <c r="B30" s="50">
        <v>1</v>
      </c>
      <c r="C30" s="50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</row>
    <row r="31" spans="1:8" ht="14.25" x14ac:dyDescent="0.4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45">
      <c r="A32" s="74"/>
    </row>
    <row r="33" spans="1:8" ht="12" customHeight="1" x14ac:dyDescent="0.25">
      <c r="A33" s="136" t="s">
        <v>3300</v>
      </c>
      <c r="B33" s="136"/>
      <c r="C33" s="136"/>
      <c r="D33" s="136"/>
      <c r="E33" s="136"/>
      <c r="F33" s="136"/>
      <c r="G33" s="136"/>
      <c r="H33" s="136"/>
    </row>
    <row r="34" spans="1:8" ht="12" customHeight="1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12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2" customHeight="1" x14ac:dyDescent="0.25">
      <c r="A36" s="136"/>
      <c r="B36" s="136"/>
      <c r="C36" s="136"/>
      <c r="D36" s="136"/>
      <c r="E36" s="136"/>
      <c r="F36" s="136"/>
      <c r="G36" s="136"/>
      <c r="H36" s="136"/>
    </row>
    <row r="37" spans="1:8" ht="12" customHeight="1" x14ac:dyDescent="0.25">
      <c r="A37" s="136"/>
      <c r="B37" s="136"/>
      <c r="C37" s="136"/>
      <c r="D37" s="136"/>
      <c r="E37" s="136"/>
      <c r="F37" s="136"/>
      <c r="G37" s="136"/>
      <c r="H37" s="136"/>
    </row>
    <row r="38" spans="1:8" ht="14.25" x14ac:dyDescent="0.4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3</v>
      </c>
      <c r="C41" s="51">
        <f>SUM(C42:OB_CORTO_PLAZO_FIN_02)</f>
        <v>3</v>
      </c>
      <c r="D41" s="51">
        <f>SUM(D42:OB_CORTO_PLAZO_FIN_03)</f>
        <v>3</v>
      </c>
      <c r="E41" s="51">
        <f>SUM(E42:OB_CORTO_PLAZO_FIN_04)</f>
        <v>3</v>
      </c>
      <c r="F41" s="51">
        <f>SUM(F42:OB_CORTO_PLAZO_FIN_05)</f>
        <v>3</v>
      </c>
    </row>
    <row r="42" spans="1:8" s="18" customFormat="1" x14ac:dyDescent="0.25">
      <c r="A42" s="88" t="s">
        <v>448</v>
      </c>
      <c r="B42" s="50">
        <v>1</v>
      </c>
      <c r="C42" s="50">
        <v>1</v>
      </c>
      <c r="D42" s="50">
        <v>1</v>
      </c>
      <c r="E42" s="50">
        <v>1</v>
      </c>
      <c r="F42" s="50">
        <v>1</v>
      </c>
    </row>
    <row r="43" spans="1:8" s="18" customFormat="1" x14ac:dyDescent="0.25">
      <c r="A43" s="88" t="s">
        <v>449</v>
      </c>
      <c r="B43" s="50">
        <v>1</v>
      </c>
      <c r="C43" s="50">
        <v>1</v>
      </c>
      <c r="D43" s="50">
        <v>1</v>
      </c>
      <c r="E43" s="50">
        <v>1</v>
      </c>
      <c r="F43" s="50">
        <v>1</v>
      </c>
    </row>
    <row r="44" spans="1:8" s="18" customFormat="1" x14ac:dyDescent="0.25">
      <c r="A44" s="88" t="s">
        <v>450</v>
      </c>
      <c r="B44" s="50">
        <v>1</v>
      </c>
      <c r="C44" s="50">
        <v>1</v>
      </c>
      <c r="D44" s="50">
        <v>1</v>
      </c>
      <c r="E44" s="50">
        <v>1</v>
      </c>
      <c r="F44" s="50">
        <v>1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23501797.399999999</v>
      </c>
      <c r="Q3" s="13">
        <f>'Formato 2'!C8</f>
        <v>17568853.399999999</v>
      </c>
      <c r="R3" s="13">
        <f>'Formato 2'!D8</f>
        <v>3955296</v>
      </c>
      <c r="S3" s="13">
        <f>'Formato 2'!E8</f>
        <v>0</v>
      </c>
      <c r="T3" s="13">
        <f>'Formato 2'!F8</f>
        <v>37115354.799999997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3955296</v>
      </c>
      <c r="S4" s="13">
        <f>'Formato 2'!E9</f>
        <v>0</v>
      </c>
      <c r="T4" s="13">
        <f>'Formato 2'!F9</f>
        <v>-3955296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3955296</v>
      </c>
      <c r="S5" s="13">
        <f>'Formato 2'!E10</f>
        <v>0</v>
      </c>
      <c r="T5" s="13">
        <f>'Formato 2'!F10</f>
        <v>-1146937.04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23501797.399999999</v>
      </c>
      <c r="Q8" s="13">
        <f>'Formato 2'!C13</f>
        <v>17568853.399999999</v>
      </c>
      <c r="R8" s="13">
        <f>'Formato 2'!D13</f>
        <v>0</v>
      </c>
      <c r="S8" s="13">
        <f>'Formato 2'!E13</f>
        <v>0</v>
      </c>
      <c r="T8" s="13">
        <f>'Formato 2'!F13</f>
        <v>41070650.799999997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23501797.399999999</v>
      </c>
      <c r="Q9" s="13">
        <f>'Formato 2'!C14</f>
        <v>17568853.399999999</v>
      </c>
      <c r="R9" s="13">
        <f>'Formato 2'!D14</f>
        <v>0</v>
      </c>
      <c r="S9" s="13">
        <f>'Formato 2'!E14</f>
        <v>0</v>
      </c>
      <c r="T9" s="13">
        <f>'Formato 2'!F14</f>
        <v>41070650.799999997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</v>
      </c>
      <c r="Q12" s="13"/>
      <c r="R12" s="13"/>
      <c r="S12" s="13"/>
      <c r="T12" s="13">
        <f>'Formato 2'!F18</f>
        <v>1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23501798.399999999</v>
      </c>
      <c r="Q13" s="13">
        <f>'Formato 2'!C20</f>
        <v>17568853.399999999</v>
      </c>
      <c r="R13" s="13">
        <f>'Formato 2'!D20</f>
        <v>3955296</v>
      </c>
      <c r="S13" s="13">
        <f>'Formato 2'!E20</f>
        <v>0</v>
      </c>
      <c r="T13" s="13">
        <f>'Formato 2'!F20</f>
        <v>37115355.799999997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/>
    <row r="19" spans="1:20" ht="14.25" x14ac:dyDescent="0.45"/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85" zoomScaleNormal="85" workbookViewId="0">
      <selection activeCell="B7" sqref="B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5" t="s">
        <v>543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0"/>
    </row>
    <row r="2" spans="1:12" ht="14.25" x14ac:dyDescent="0.45">
      <c r="A2" s="126" t="str">
        <f>ENTE_PUBLICO_A</f>
        <v>Presidencia Municipal de San Miguel de Allende, Gobierno del Estado de Guanajuato (a)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x14ac:dyDescent="0.25">
      <c r="A3" s="129" t="s">
        <v>146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ht="14.25" x14ac:dyDescent="0.45">
      <c r="A4" s="129" t="str">
        <f>TRIMESTRE</f>
        <v>Del 1 de enero al 30 de junio de 2019 (b)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2" ht="14.25" x14ac:dyDescent="0.45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junio de 2019 (k)</v>
      </c>
      <c r="J6" s="108" t="str">
        <f>MONTO2</f>
        <v>Monto pagado de la inversión actualizado al 30 de junio de 2019 (l)</v>
      </c>
      <c r="K6" s="108" t="str">
        <f>SALDO_PENDIENTE</f>
        <v>Saldo pendiente por pagar de la inversión al 30 de junio de 2019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4</v>
      </c>
      <c r="F8" s="107"/>
      <c r="G8" s="51">
        <f>SUM(G9:APP_FIN_06)</f>
        <v>4</v>
      </c>
      <c r="H8" s="51">
        <f>SUM(H9:APP_FIN_07)</f>
        <v>4</v>
      </c>
      <c r="I8" s="51">
        <f>SUM(I9:APP_FIN_08)</f>
        <v>4</v>
      </c>
      <c r="J8" s="51">
        <f>SUM(J9:APP_FIN_09)</f>
        <v>4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>
        <v>1</v>
      </c>
      <c r="F9" s="50"/>
      <c r="G9" s="50">
        <v>1</v>
      </c>
      <c r="H9" s="50">
        <v>1</v>
      </c>
      <c r="I9" s="50">
        <v>1</v>
      </c>
      <c r="J9" s="50">
        <v>1</v>
      </c>
      <c r="K9" s="50">
        <f>E9-J9</f>
        <v>0</v>
      </c>
    </row>
    <row r="10" spans="1:12" s="18" customFormat="1" ht="14.25" x14ac:dyDescent="0.45">
      <c r="A10" s="93" t="s">
        <v>157</v>
      </c>
      <c r="B10" s="91"/>
      <c r="C10" s="91"/>
      <c r="D10" s="91"/>
      <c r="E10" s="50">
        <v>1</v>
      </c>
      <c r="F10" s="50"/>
      <c r="G10" s="50">
        <v>1</v>
      </c>
      <c r="H10" s="50">
        <v>1</v>
      </c>
      <c r="I10" s="50">
        <v>1</v>
      </c>
      <c r="J10" s="50">
        <v>1</v>
      </c>
      <c r="K10" s="50">
        <f t="shared" ref="K10:K12" si="0">E10-J10</f>
        <v>0</v>
      </c>
    </row>
    <row r="11" spans="1:12" s="18" customFormat="1" ht="14.25" x14ac:dyDescent="0.45">
      <c r="A11" s="93" t="s">
        <v>158</v>
      </c>
      <c r="B11" s="91"/>
      <c r="C11" s="91"/>
      <c r="D11" s="91"/>
      <c r="E11" s="50">
        <v>1</v>
      </c>
      <c r="F11" s="50"/>
      <c r="G11" s="50">
        <v>1</v>
      </c>
      <c r="H11" s="50">
        <v>1</v>
      </c>
      <c r="I11" s="50">
        <v>1</v>
      </c>
      <c r="J11" s="50">
        <v>1</v>
      </c>
      <c r="K11" s="50">
        <f t="shared" si="0"/>
        <v>0</v>
      </c>
    </row>
    <row r="12" spans="1:12" s="18" customFormat="1" ht="14.25" x14ac:dyDescent="0.45">
      <c r="A12" s="93" t="s">
        <v>159</v>
      </c>
      <c r="B12" s="91"/>
      <c r="C12" s="91"/>
      <c r="D12" s="91"/>
      <c r="E12" s="50">
        <v>1</v>
      </c>
      <c r="F12" s="50"/>
      <c r="G12" s="50">
        <v>1</v>
      </c>
      <c r="H12" s="50">
        <v>1</v>
      </c>
      <c r="I12" s="50">
        <v>1</v>
      </c>
      <c r="J12" s="50">
        <v>1</v>
      </c>
      <c r="K12" s="50">
        <f t="shared" si="0"/>
        <v>0</v>
      </c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7"/>
      <c r="C14" s="107"/>
      <c r="D14" s="107"/>
      <c r="E14" s="51">
        <f>SUM(E15:OTROS_FIN_04)</f>
        <v>4</v>
      </c>
      <c r="F14" s="107"/>
      <c r="G14" s="51">
        <f>SUM(G15:OTROS_FIN_06)</f>
        <v>4</v>
      </c>
      <c r="H14" s="51">
        <f>SUM(H15:OTROS_FIN_07)</f>
        <v>4</v>
      </c>
      <c r="I14" s="51">
        <f>SUM(I15:OTROS_FIN_08)</f>
        <v>4</v>
      </c>
      <c r="J14" s="51">
        <f>SUM(J15:OTROS_FIN_09)</f>
        <v>4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>
        <v>42755</v>
      </c>
      <c r="E15" s="50">
        <v>1</v>
      </c>
      <c r="F15" s="50"/>
      <c r="G15" s="50">
        <v>1</v>
      </c>
      <c r="H15" s="50">
        <v>1</v>
      </c>
      <c r="I15" s="50">
        <v>1</v>
      </c>
      <c r="J15" s="50">
        <v>1</v>
      </c>
      <c r="K15" s="50">
        <f>E15-J15</f>
        <v>0</v>
      </c>
    </row>
    <row r="16" spans="1:12" s="18" customFormat="1" ht="14.25" x14ac:dyDescent="0.45">
      <c r="A16" s="93" t="s">
        <v>162</v>
      </c>
      <c r="B16" s="91"/>
      <c r="C16" s="91"/>
      <c r="D16" s="91">
        <v>42755</v>
      </c>
      <c r="E16" s="50">
        <v>1</v>
      </c>
      <c r="F16" s="50"/>
      <c r="G16" s="50">
        <v>1</v>
      </c>
      <c r="H16" s="50">
        <v>1</v>
      </c>
      <c r="I16" s="50">
        <v>1</v>
      </c>
      <c r="J16" s="50">
        <v>1</v>
      </c>
      <c r="K16" s="50">
        <f t="shared" ref="K16:K18" si="1">E16-J16</f>
        <v>0</v>
      </c>
    </row>
    <row r="17" spans="1:11" s="18" customFormat="1" ht="14.25" x14ac:dyDescent="0.45">
      <c r="A17" s="93" t="s">
        <v>163</v>
      </c>
      <c r="B17" s="91"/>
      <c r="C17" s="91"/>
      <c r="D17" s="91">
        <v>42755</v>
      </c>
      <c r="E17" s="50">
        <v>1</v>
      </c>
      <c r="F17" s="50"/>
      <c r="G17" s="50">
        <v>1</v>
      </c>
      <c r="H17" s="50">
        <v>1</v>
      </c>
      <c r="I17" s="50">
        <v>1</v>
      </c>
      <c r="J17" s="50">
        <v>1</v>
      </c>
      <c r="K17" s="50">
        <f t="shared" si="1"/>
        <v>0</v>
      </c>
    </row>
    <row r="18" spans="1:11" s="18" customFormat="1" ht="14.25" x14ac:dyDescent="0.45">
      <c r="A18" s="93" t="s">
        <v>164</v>
      </c>
      <c r="B18" s="91"/>
      <c r="C18" s="91"/>
      <c r="D18" s="91">
        <v>42755</v>
      </c>
      <c r="E18" s="50">
        <v>1</v>
      </c>
      <c r="F18" s="50"/>
      <c r="G18" s="50">
        <v>1</v>
      </c>
      <c r="H18" s="50">
        <v>1</v>
      </c>
      <c r="I18" s="50">
        <v>1</v>
      </c>
      <c r="J18" s="50">
        <v>1</v>
      </c>
      <c r="K18" s="50">
        <f t="shared" si="1"/>
        <v>0</v>
      </c>
    </row>
    <row r="19" spans="1:11" ht="14.25" x14ac:dyDescent="0.4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ht="14.25" x14ac:dyDescent="0.45">
      <c r="A20" s="31" t="s">
        <v>165</v>
      </c>
      <c r="B20" s="107"/>
      <c r="C20" s="107"/>
      <c r="D20" s="107"/>
      <c r="E20" s="51">
        <f>APP_T4+OTROS_T4</f>
        <v>8</v>
      </c>
      <c r="F20" s="107"/>
      <c r="G20" s="51">
        <f>APP_T6+OTROS_T6</f>
        <v>8</v>
      </c>
      <c r="H20" s="51">
        <f>APP_T7+OTROS_T7</f>
        <v>8</v>
      </c>
      <c r="I20" s="51">
        <f>APP_T8+OTROS_T8</f>
        <v>8</v>
      </c>
      <c r="J20" s="51">
        <f>APP_T9+OTROS_T9</f>
        <v>8</v>
      </c>
      <c r="K20" s="51">
        <f>APP_T10+OTROS_T10</f>
        <v>0</v>
      </c>
    </row>
    <row r="21" spans="1:11" ht="14.25" x14ac:dyDescent="0.4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4</v>
      </c>
      <c r="T3" s="13"/>
      <c r="U3" s="13">
        <f>APP_T6</f>
        <v>4</v>
      </c>
      <c r="V3" s="13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4</v>
      </c>
      <c r="T4" s="13"/>
      <c r="U4" s="13">
        <f>OTROS_T6</f>
        <v>4</v>
      </c>
      <c r="V4" s="13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8</v>
      </c>
      <c r="T5" s="13"/>
      <c r="U5" s="13">
        <f>TOTAL_ODF_T6</f>
        <v>8</v>
      </c>
      <c r="V5" s="13">
        <f>TOTAL_ODF_T7</f>
        <v>8</v>
      </c>
      <c r="W5" s="13">
        <f>TOTAL_ODF_T8</f>
        <v>8</v>
      </c>
      <c r="X5" s="13">
        <f>TOTAL_ODF_T9</f>
        <v>8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Beatriz Mata Cuellar</cp:lastModifiedBy>
  <cp:lastPrinted>2017-02-04T00:56:20Z</cp:lastPrinted>
  <dcterms:created xsi:type="dcterms:W3CDTF">2017-01-19T17:59:06Z</dcterms:created>
  <dcterms:modified xsi:type="dcterms:W3CDTF">2019-07-30T15:39:53Z</dcterms:modified>
</cp:coreProperties>
</file>